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ЭтаКнига"/>
  <mc:AlternateContent xmlns:mc="http://schemas.openxmlformats.org/markup-compatibility/2006">
    <mc:Choice Requires="x15">
      <x15ac:absPath xmlns:x15ac="http://schemas.microsoft.com/office/spreadsheetml/2010/11/ac" url="D:\Мои документы\Рабочие документы\ПРОЕКТЫ\Раскрытие информации\Excel на сайт\На сайт\"/>
    </mc:Choice>
  </mc:AlternateContent>
  <xr:revisionPtr revIDLastSave="0" documentId="13_ncr:1_{E1EC62D1-7BBB-4805-86A5-324992B46946}" xr6:coauthVersionLast="36" xr6:coauthVersionMax="36" xr10:uidLastSave="{00000000-0000-0000-0000-000000000000}"/>
  <bookViews>
    <workbookView xWindow="-120" yWindow="-120" windowWidth="29040" windowHeight="15840" tabRatio="769" xr2:uid="{00000000-000D-0000-FFFF-FFFF00000000}"/>
  </bookViews>
  <sheets>
    <sheet name="Contents" sheetId="10" r:id="rId1"/>
    <sheet name="Balance Sheet" sheetId="1" r:id="rId2"/>
    <sheet name="Statement of Income" sheetId="3" r:id="rId3"/>
    <sheet name="Cash Flows" sheetId="2" r:id="rId4"/>
    <sheet name="Key Financial&amp;Operation Results" sheetId="27" r:id="rId5"/>
    <sheet name="Production" sheetId="21" r:id="rId6"/>
    <sheet name="West Qurna-2" sheetId="24" r:id="rId7"/>
    <sheet name="Refining" sheetId="9" r:id="rId8"/>
    <sheet name="Marketing &amp; Trading" sheetId="4" r:id="rId9"/>
    <sheet name="Capital expenditures" sheetId="17" r:id="rId10"/>
    <sheet name="Expenses" sheetId="20" r:id="rId11"/>
    <sheet name="EBITDA" sheetId="26" r:id="rId12"/>
    <sheet name="Macro" sheetId="28" r:id="rId13"/>
    <sheet name="Taxation" sheetId="29" r:id="rId14"/>
  </sheets>
  <definedNames>
    <definedName name="CIQWBGuid" hidden="1">"b7b2268e-8e2b-475b-8880-f3e286451964"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42560.3303472222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Production!$A$1:$V$86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2" l="1"/>
  <c r="A99" i="1"/>
  <c r="A101" i="1"/>
  <c r="B101" i="1"/>
  <c r="B99" i="1"/>
  <c r="B18" i="17" l="1"/>
  <c r="B17" i="17"/>
  <c r="A18" i="17"/>
  <c r="A17" i="17"/>
  <c r="A99" i="3" l="1"/>
  <c r="A94" i="3"/>
  <c r="AS36" i="24" l="1"/>
  <c r="AR36" i="24"/>
  <c r="AQ36" i="24"/>
  <c r="AP36" i="24"/>
  <c r="AS32" i="24"/>
  <c r="AR32" i="24"/>
  <c r="AQ32" i="24"/>
  <c r="AP32" i="24"/>
  <c r="AS18" i="24"/>
  <c r="AR18" i="24"/>
  <c r="AQ18" i="24"/>
  <c r="AP18" i="24"/>
  <c r="A12" i="2" l="1"/>
  <c r="A30" i="1" l="1"/>
  <c r="A29" i="1"/>
  <c r="A96" i="21" l="1"/>
  <c r="A95" i="21" l="1"/>
  <c r="A8" i="20"/>
  <c r="AS40" i="29" l="1"/>
  <c r="AR40" i="29"/>
  <c r="AQ40" i="29"/>
  <c r="AP40" i="29"/>
  <c r="AS29" i="29"/>
  <c r="AR29" i="29"/>
  <c r="AQ29" i="29"/>
  <c r="AP29" i="29"/>
  <c r="AS18" i="29"/>
  <c r="AR18" i="29"/>
  <c r="AQ18" i="29"/>
  <c r="AP18" i="29"/>
  <c r="AS31" i="28"/>
  <c r="AR31" i="28"/>
  <c r="AQ31" i="28"/>
  <c r="AP31" i="28"/>
  <c r="AS22" i="28"/>
  <c r="AR22" i="28"/>
  <c r="AQ22" i="28"/>
  <c r="AP22" i="28"/>
  <c r="AS19" i="26"/>
  <c r="AR19" i="26"/>
  <c r="AQ19" i="26"/>
  <c r="AP19" i="26"/>
  <c r="AS5" i="26"/>
  <c r="AR5" i="26"/>
  <c r="AQ5" i="26"/>
  <c r="AP5" i="26"/>
  <c r="AS19" i="20"/>
  <c r="AR19" i="20"/>
  <c r="AQ19" i="20"/>
  <c r="AP19" i="20"/>
  <c r="AS37" i="17"/>
  <c r="AR37" i="17"/>
  <c r="AQ37" i="17"/>
  <c r="AP37" i="17"/>
  <c r="AS104" i="4"/>
  <c r="AR104" i="4"/>
  <c r="AQ104" i="4"/>
  <c r="AP104" i="4"/>
  <c r="AS76" i="4"/>
  <c r="AR76" i="4"/>
  <c r="AQ76" i="4"/>
  <c r="AP76" i="4"/>
  <c r="AS59" i="4"/>
  <c r="AR59" i="4"/>
  <c r="AQ59" i="4"/>
  <c r="AP59" i="4"/>
  <c r="AS41" i="4"/>
  <c r="AR41" i="4"/>
  <c r="AQ41" i="4"/>
  <c r="AP41" i="4"/>
  <c r="AS29" i="4"/>
  <c r="AR29" i="4"/>
  <c r="AQ29" i="4"/>
  <c r="AP29" i="4"/>
  <c r="AS19" i="4"/>
  <c r="AR19" i="4"/>
  <c r="AQ19" i="4"/>
  <c r="AP19" i="4"/>
  <c r="AS9" i="4"/>
  <c r="AR9" i="4"/>
  <c r="AQ9" i="4"/>
  <c r="AP9" i="4"/>
  <c r="AS53" i="9"/>
  <c r="AR53" i="9"/>
  <c r="AQ53" i="9"/>
  <c r="AP53" i="9"/>
  <c r="AS19" i="9"/>
  <c r="AR19" i="9"/>
  <c r="AQ19" i="9"/>
  <c r="AP19" i="9"/>
  <c r="AS106" i="21"/>
  <c r="AR106" i="21"/>
  <c r="AQ106" i="21"/>
  <c r="AP106" i="21"/>
  <c r="AS92" i="21"/>
  <c r="AR92" i="21"/>
  <c r="AQ92" i="21"/>
  <c r="AP92" i="21"/>
  <c r="AS72" i="21"/>
  <c r="AR72" i="21"/>
  <c r="AQ72" i="21"/>
  <c r="AP72" i="21"/>
  <c r="AS54" i="21"/>
  <c r="AR54" i="21"/>
  <c r="AQ54" i="21"/>
  <c r="AP54" i="21"/>
  <c r="AS35" i="21"/>
  <c r="AR35" i="21"/>
  <c r="AQ35" i="21"/>
  <c r="AP35" i="21"/>
  <c r="AS18" i="21"/>
  <c r="AR18" i="21"/>
  <c r="AQ18" i="21"/>
  <c r="AP18" i="21"/>
  <c r="AS6" i="27"/>
  <c r="AR6" i="27"/>
  <c r="AQ6" i="27"/>
  <c r="AP6" i="27"/>
  <c r="AS7" i="21"/>
  <c r="AR7" i="21"/>
  <c r="AQ7" i="21"/>
  <c r="AP7" i="21"/>
  <c r="AS7" i="24"/>
  <c r="AR7" i="24"/>
  <c r="AQ7" i="24"/>
  <c r="AP7" i="24"/>
  <c r="AS7" i="9"/>
  <c r="AR7" i="9"/>
  <c r="AQ7" i="9"/>
  <c r="AP7" i="9"/>
  <c r="AS7" i="17"/>
  <c r="AR7" i="17"/>
  <c r="AQ7" i="17"/>
  <c r="AP7" i="17"/>
  <c r="AS7" i="20"/>
  <c r="AR7" i="20"/>
  <c r="AQ7" i="20"/>
  <c r="AP7" i="20"/>
  <c r="AS7" i="28"/>
  <c r="AR7" i="28"/>
  <c r="AQ7" i="28"/>
  <c r="AP7" i="28"/>
  <c r="AS7" i="29"/>
  <c r="AR7" i="29"/>
  <c r="AQ7" i="29"/>
  <c r="AP7" i="29"/>
  <c r="AS7" i="2"/>
  <c r="AR7" i="2"/>
  <c r="AQ7" i="2"/>
  <c r="AP7" i="2"/>
  <c r="AS7" i="3"/>
  <c r="AR7" i="3"/>
  <c r="AQ7" i="3"/>
  <c r="AP7" i="3"/>
  <c r="B29" i="1"/>
  <c r="B30" i="1"/>
  <c r="A12" i="20" l="1"/>
  <c r="A24" i="20"/>
  <c r="A20" i="20"/>
  <c r="A112" i="3" l="1"/>
  <c r="A117" i="1" l="1"/>
  <c r="A46" i="1"/>
  <c r="A44" i="1"/>
  <c r="A40" i="2"/>
  <c r="A42" i="2"/>
  <c r="A154" i="3" l="1"/>
  <c r="A153" i="3"/>
  <c r="A109" i="21" l="1"/>
  <c r="A110" i="21"/>
  <c r="A101" i="21"/>
  <c r="A71" i="4"/>
  <c r="A62" i="4"/>
  <c r="A14" i="4"/>
  <c r="A34" i="4"/>
  <c r="A33" i="4"/>
  <c r="A32" i="4"/>
  <c r="A31" i="4"/>
  <c r="A24" i="4"/>
  <c r="A23" i="4"/>
  <c r="A22" i="4"/>
  <c r="A21" i="4"/>
  <c r="A13" i="4"/>
  <c r="A12" i="4"/>
  <c r="A11" i="4"/>
  <c r="B43" i="9"/>
  <c r="A43" i="9"/>
  <c r="A13" i="9"/>
  <c r="A12" i="9"/>
  <c r="A11" i="9"/>
  <c r="A10" i="9"/>
  <c r="A84" i="21"/>
  <c r="A66" i="21"/>
  <c r="A47" i="21"/>
  <c r="A30" i="21"/>
  <c r="A85" i="3"/>
  <c r="A59" i="3"/>
  <c r="A57" i="3"/>
  <c r="A56" i="3"/>
  <c r="C29" i="10" l="1"/>
  <c r="B21" i="2" l="1"/>
  <c r="A16" i="28" l="1"/>
  <c r="B16" i="28" l="1"/>
  <c r="B34" i="4"/>
  <c r="B33" i="4"/>
  <c r="B24" i="4"/>
  <c r="B23" i="4"/>
  <c r="A152" i="3" l="1"/>
  <c r="A151" i="3"/>
  <c r="A141" i="3"/>
  <c r="A140" i="3"/>
  <c r="B100" i="1"/>
  <c r="A100" i="1"/>
  <c r="A90" i="21" l="1"/>
  <c r="A49" i="2" l="1"/>
  <c r="B23" i="29"/>
  <c r="B22" i="29"/>
  <c r="B20" i="29"/>
  <c r="B19" i="29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48" i="3"/>
  <c r="B47" i="3"/>
  <c r="B24" i="3"/>
  <c r="B23" i="3"/>
  <c r="B101" i="21"/>
  <c r="B100" i="21"/>
  <c r="B99" i="21"/>
  <c r="B98" i="21"/>
  <c r="B97" i="21"/>
  <c r="B96" i="21"/>
  <c r="B95" i="21"/>
  <c r="C30" i="10" l="1"/>
  <c r="A2" i="28"/>
  <c r="C15" i="10"/>
  <c r="A135" i="4"/>
  <c r="C25" i="10"/>
  <c r="C24" i="10"/>
  <c r="C17" i="10" l="1"/>
  <c r="C16" i="10"/>
  <c r="C11" i="10"/>
  <c r="A45" i="29" l="1"/>
  <c r="A44" i="29"/>
  <c r="A42" i="29"/>
  <c r="A41" i="29"/>
  <c r="A46" i="29"/>
  <c r="B45" i="29"/>
  <c r="B44" i="29"/>
  <c r="B42" i="29"/>
  <c r="B41" i="29"/>
  <c r="A38" i="29"/>
  <c r="B35" i="29"/>
  <c r="B34" i="29"/>
  <c r="B32" i="29"/>
  <c r="B31" i="29"/>
  <c r="A35" i="29"/>
  <c r="A34" i="29"/>
  <c r="A33" i="29"/>
  <c r="A32" i="29"/>
  <c r="A31" i="29"/>
  <c r="A30" i="29"/>
  <c r="A27" i="29"/>
  <c r="A23" i="29"/>
  <c r="A22" i="29"/>
  <c r="A20" i="29"/>
  <c r="A19" i="29"/>
  <c r="A24" i="29"/>
  <c r="A16" i="29"/>
  <c r="A11" i="29"/>
  <c r="A12" i="29"/>
  <c r="A9" i="29"/>
  <c r="A8" i="29"/>
  <c r="B11" i="29"/>
  <c r="B9" i="29"/>
  <c r="A14" i="29"/>
  <c r="A13" i="29"/>
  <c r="A5" i="29"/>
  <c r="AM40" i="29"/>
  <c r="AL40" i="29"/>
  <c r="AK40" i="29"/>
  <c r="AJ40" i="29"/>
  <c r="AG40" i="29"/>
  <c r="AF40" i="29"/>
  <c r="AE40" i="29"/>
  <c r="AD40" i="29"/>
  <c r="AA40" i="29"/>
  <c r="Z40" i="29"/>
  <c r="Y40" i="29"/>
  <c r="X40" i="29"/>
  <c r="U40" i="29"/>
  <c r="T40" i="29"/>
  <c r="S40" i="29"/>
  <c r="R40" i="29"/>
  <c r="O40" i="29"/>
  <c r="N40" i="29"/>
  <c r="M40" i="29"/>
  <c r="L40" i="29"/>
  <c r="I40" i="29"/>
  <c r="H40" i="29"/>
  <c r="G40" i="29"/>
  <c r="F40" i="29"/>
  <c r="A2" i="29"/>
  <c r="A48" i="29"/>
  <c r="AM29" i="29"/>
  <c r="AL29" i="29"/>
  <c r="AK29" i="29"/>
  <c r="AJ29" i="29"/>
  <c r="AG29" i="29"/>
  <c r="AF29" i="29"/>
  <c r="AE29" i="29"/>
  <c r="AD29" i="29"/>
  <c r="AA29" i="29"/>
  <c r="Z29" i="29"/>
  <c r="Y29" i="29"/>
  <c r="X29" i="29"/>
  <c r="U29" i="29"/>
  <c r="T29" i="29"/>
  <c r="S29" i="29"/>
  <c r="R29" i="29"/>
  <c r="O29" i="29"/>
  <c r="N29" i="29"/>
  <c r="M29" i="29"/>
  <c r="L29" i="29"/>
  <c r="I29" i="29"/>
  <c r="H29" i="29"/>
  <c r="G29" i="29"/>
  <c r="F29" i="29"/>
  <c r="AM18" i="29"/>
  <c r="AL18" i="29"/>
  <c r="AK18" i="29"/>
  <c r="AJ18" i="29"/>
  <c r="AG18" i="29"/>
  <c r="AF18" i="29"/>
  <c r="AE18" i="29"/>
  <c r="AD18" i="29"/>
  <c r="AA18" i="29"/>
  <c r="Z18" i="29"/>
  <c r="Y18" i="29"/>
  <c r="X18" i="29"/>
  <c r="U18" i="29"/>
  <c r="T18" i="29"/>
  <c r="S18" i="29"/>
  <c r="R18" i="29"/>
  <c r="O18" i="29"/>
  <c r="N18" i="29"/>
  <c r="M18" i="29"/>
  <c r="L18" i="29"/>
  <c r="I18" i="29"/>
  <c r="H18" i="29"/>
  <c r="G18" i="29"/>
  <c r="F18" i="29"/>
  <c r="B12" i="29"/>
  <c r="B8" i="29"/>
  <c r="AM7" i="29"/>
  <c r="AL7" i="29"/>
  <c r="AK7" i="29"/>
  <c r="AJ7" i="29"/>
  <c r="AG7" i="29"/>
  <c r="AF7" i="29"/>
  <c r="AE7" i="29"/>
  <c r="AD7" i="29"/>
  <c r="AA7" i="29"/>
  <c r="Z7" i="29"/>
  <c r="Y7" i="29"/>
  <c r="X7" i="29"/>
  <c r="U7" i="29"/>
  <c r="T7" i="29"/>
  <c r="S7" i="29"/>
  <c r="R7" i="29"/>
  <c r="O7" i="29"/>
  <c r="N7" i="29"/>
  <c r="M7" i="29"/>
  <c r="L7" i="29"/>
  <c r="I7" i="29"/>
  <c r="H7" i="29"/>
  <c r="G7" i="29"/>
  <c r="F7" i="29"/>
  <c r="A40" i="28"/>
  <c r="A39" i="28"/>
  <c r="A38" i="28"/>
  <c r="A37" i="28"/>
  <c r="A36" i="28"/>
  <c r="A35" i="28"/>
  <c r="A34" i="28"/>
  <c r="A33" i="28"/>
  <c r="A32" i="28"/>
  <c r="A26" i="28"/>
  <c r="A25" i="28"/>
  <c r="A24" i="28"/>
  <c r="A23" i="28"/>
  <c r="A17" i="28"/>
  <c r="A15" i="28"/>
  <c r="A14" i="28"/>
  <c r="A13" i="28"/>
  <c r="A12" i="28"/>
  <c r="A11" i="28"/>
  <c r="A9" i="28"/>
  <c r="A8" i="28"/>
  <c r="A41" i="28"/>
  <c r="B40" i="28"/>
  <c r="B39" i="28"/>
  <c r="B38" i="28"/>
  <c r="B36" i="28"/>
  <c r="B35" i="28"/>
  <c r="B34" i="28"/>
  <c r="A29" i="28"/>
  <c r="A20" i="28"/>
  <c r="B26" i="28"/>
  <c r="B25" i="28"/>
  <c r="B24" i="28"/>
  <c r="B23" i="28"/>
  <c r="A27" i="28"/>
  <c r="B17" i="28"/>
  <c r="B15" i="28"/>
  <c r="B14" i="28"/>
  <c r="B13" i="28"/>
  <c r="B12" i="28"/>
  <c r="B11" i="28"/>
  <c r="B9" i="28"/>
  <c r="B8" i="28"/>
  <c r="A18" i="28"/>
  <c r="A5" i="28"/>
  <c r="A43" i="28"/>
  <c r="AM31" i="28"/>
  <c r="AL31" i="28"/>
  <c r="AK31" i="28"/>
  <c r="AJ31" i="28"/>
  <c r="AG31" i="28"/>
  <c r="AF31" i="28"/>
  <c r="AE31" i="28"/>
  <c r="AD31" i="28"/>
  <c r="AA31" i="28"/>
  <c r="Z31" i="28"/>
  <c r="Y31" i="28"/>
  <c r="X31" i="28"/>
  <c r="U31" i="28"/>
  <c r="T31" i="28"/>
  <c r="S31" i="28"/>
  <c r="R31" i="28"/>
  <c r="O31" i="28"/>
  <c r="N31" i="28"/>
  <c r="M31" i="28"/>
  <c r="L31" i="28"/>
  <c r="I31" i="28"/>
  <c r="H31" i="28"/>
  <c r="G31" i="28"/>
  <c r="F31" i="28"/>
  <c r="AM22" i="28"/>
  <c r="AL22" i="28"/>
  <c r="AK22" i="28"/>
  <c r="AJ22" i="28"/>
  <c r="AG22" i="28"/>
  <c r="AF22" i="28"/>
  <c r="AE22" i="28"/>
  <c r="AD22" i="28"/>
  <c r="AA22" i="28"/>
  <c r="Z22" i="28"/>
  <c r="Y22" i="28"/>
  <c r="X22" i="28"/>
  <c r="U22" i="28"/>
  <c r="T22" i="28"/>
  <c r="S22" i="28"/>
  <c r="R22" i="28"/>
  <c r="O22" i="28"/>
  <c r="N22" i="28"/>
  <c r="M22" i="28"/>
  <c r="L22" i="28"/>
  <c r="I22" i="28"/>
  <c r="H22" i="28"/>
  <c r="G22" i="28"/>
  <c r="F22" i="28"/>
  <c r="AM7" i="28"/>
  <c r="AL7" i="28"/>
  <c r="AK7" i="28"/>
  <c r="AJ7" i="28"/>
  <c r="AG7" i="28"/>
  <c r="AF7" i="28"/>
  <c r="AE7" i="28"/>
  <c r="AD7" i="28"/>
  <c r="AA7" i="28"/>
  <c r="Z7" i="28"/>
  <c r="Y7" i="28"/>
  <c r="X7" i="28"/>
  <c r="U7" i="28"/>
  <c r="T7" i="28"/>
  <c r="S7" i="28"/>
  <c r="R7" i="28"/>
  <c r="O7" i="28"/>
  <c r="N7" i="28"/>
  <c r="M7" i="28"/>
  <c r="L7" i="28"/>
  <c r="I7" i="28"/>
  <c r="H7" i="28"/>
  <c r="G7" i="28"/>
  <c r="F7" i="28"/>
  <c r="A8" i="27"/>
  <c r="A22" i="27"/>
  <c r="A21" i="27"/>
  <c r="A20" i="27"/>
  <c r="A19" i="27"/>
  <c r="A18" i="27"/>
  <c r="A17" i="27"/>
  <c r="B20" i="27"/>
  <c r="B19" i="27"/>
  <c r="B18" i="27"/>
  <c r="B17" i="27"/>
  <c r="A15" i="27"/>
  <c r="A14" i="27"/>
  <c r="A13" i="27" l="1"/>
  <c r="B15" i="27"/>
  <c r="B14" i="27"/>
  <c r="A12" i="27"/>
  <c r="B13" i="27"/>
  <c r="B12" i="27"/>
  <c r="B11" i="27"/>
  <c r="B9" i="27"/>
  <c r="B8" i="27"/>
  <c r="B7" i="27"/>
  <c r="A11" i="27"/>
  <c r="A10" i="27"/>
  <c r="A9" i="27"/>
  <c r="A7" i="27"/>
  <c r="A2" i="27"/>
  <c r="A24" i="27"/>
  <c r="B10" i="27"/>
  <c r="AM6" i="27"/>
  <c r="AL6" i="27"/>
  <c r="AK6" i="27"/>
  <c r="AJ6" i="27"/>
  <c r="AG6" i="27"/>
  <c r="AF6" i="27"/>
  <c r="AE6" i="27"/>
  <c r="AD6" i="27"/>
  <c r="AA6" i="27"/>
  <c r="Z6" i="27"/>
  <c r="Y6" i="27"/>
  <c r="X6" i="27"/>
  <c r="U6" i="27"/>
  <c r="T6" i="27"/>
  <c r="S6" i="27"/>
  <c r="R6" i="27"/>
  <c r="O6" i="27"/>
  <c r="N6" i="27"/>
  <c r="M6" i="27"/>
  <c r="L6" i="27"/>
  <c r="I6" i="27"/>
  <c r="H6" i="27"/>
  <c r="G6" i="27"/>
  <c r="F6" i="27"/>
  <c r="A100" i="21"/>
  <c r="A99" i="21"/>
  <c r="A98" i="21"/>
  <c r="A97" i="21"/>
  <c r="A104" i="21"/>
  <c r="A111" i="21"/>
  <c r="A108" i="21"/>
  <c r="A107" i="21"/>
  <c r="A94" i="21"/>
  <c r="A93" i="21"/>
  <c r="B111" i="21"/>
  <c r="B110" i="21"/>
  <c r="B109" i="21"/>
  <c r="B108" i="21"/>
  <c r="B107" i="21"/>
  <c r="AM106" i="21"/>
  <c r="AL106" i="21"/>
  <c r="AK106" i="21"/>
  <c r="AJ106" i="21"/>
  <c r="AG106" i="21"/>
  <c r="AF106" i="21"/>
  <c r="AE106" i="21"/>
  <c r="AD106" i="21"/>
  <c r="AA106" i="21"/>
  <c r="Z106" i="21"/>
  <c r="Y106" i="21"/>
  <c r="X106" i="21"/>
  <c r="U106" i="21"/>
  <c r="T106" i="21"/>
  <c r="S106" i="21"/>
  <c r="R106" i="21"/>
  <c r="O106" i="21"/>
  <c r="N106" i="21"/>
  <c r="M106" i="21"/>
  <c r="L106" i="21"/>
  <c r="I106" i="21"/>
  <c r="H106" i="21"/>
  <c r="G106" i="21"/>
  <c r="F106" i="21"/>
  <c r="B93" i="21"/>
  <c r="AM92" i="21"/>
  <c r="AL92" i="21"/>
  <c r="AK92" i="21"/>
  <c r="AJ92" i="21"/>
  <c r="AG92" i="21"/>
  <c r="AF92" i="21"/>
  <c r="AE92" i="21"/>
  <c r="AD92" i="21"/>
  <c r="AA92" i="21"/>
  <c r="Z92" i="21"/>
  <c r="Y92" i="21"/>
  <c r="X92" i="21"/>
  <c r="U92" i="21"/>
  <c r="T92" i="21"/>
  <c r="S92" i="21"/>
  <c r="R92" i="21"/>
  <c r="O92" i="21"/>
  <c r="N92" i="21"/>
  <c r="M92" i="21"/>
  <c r="L92" i="21"/>
  <c r="I92" i="21"/>
  <c r="H92" i="21"/>
  <c r="G92" i="21"/>
  <c r="F92" i="21"/>
  <c r="A52" i="21"/>
  <c r="B99" i="4" l="1"/>
  <c r="B97" i="4"/>
  <c r="B95" i="4"/>
  <c r="B94" i="4"/>
  <c r="B93" i="4"/>
  <c r="B92" i="4"/>
  <c r="B91" i="4"/>
  <c r="B90" i="4"/>
  <c r="B89" i="4"/>
  <c r="B88" i="4"/>
  <c r="B86" i="4"/>
  <c r="B84" i="4"/>
  <c r="B83" i="4"/>
  <c r="B82" i="4"/>
  <c r="B81" i="4"/>
  <c r="B80" i="4"/>
  <c r="B79" i="4"/>
  <c r="B78" i="4"/>
  <c r="B77" i="4"/>
  <c r="A133" i="4"/>
  <c r="A131" i="4"/>
  <c r="A130" i="4"/>
  <c r="A129" i="4"/>
  <c r="A128" i="4"/>
  <c r="A126" i="4"/>
  <c r="A125" i="4"/>
  <c r="A124" i="4"/>
  <c r="A123" i="4"/>
  <c r="A122" i="4"/>
  <c r="A121" i="4"/>
  <c r="A120" i="4"/>
  <c r="A119" i="4"/>
  <c r="A117" i="4"/>
  <c r="A116" i="4"/>
  <c r="A115" i="4"/>
  <c r="A114" i="4"/>
  <c r="A112" i="4"/>
  <c r="A111" i="4"/>
  <c r="A110" i="4"/>
  <c r="A109" i="4"/>
  <c r="A108" i="4"/>
  <c r="A107" i="4"/>
  <c r="A106" i="4"/>
  <c r="A105" i="4"/>
  <c r="B133" i="4"/>
  <c r="B131" i="4"/>
  <c r="B130" i="4"/>
  <c r="B129" i="4"/>
  <c r="B128" i="4"/>
  <c r="B126" i="4"/>
  <c r="B125" i="4"/>
  <c r="B124" i="4"/>
  <c r="B123" i="4"/>
  <c r="B122" i="4"/>
  <c r="B121" i="4"/>
  <c r="B120" i="4"/>
  <c r="B119" i="4"/>
  <c r="B117" i="4"/>
  <c r="B116" i="4"/>
  <c r="B115" i="4"/>
  <c r="B114" i="4"/>
  <c r="B112" i="4"/>
  <c r="B111" i="4"/>
  <c r="B110" i="4"/>
  <c r="B109" i="4"/>
  <c r="B108" i="4"/>
  <c r="B107" i="4"/>
  <c r="B106" i="4"/>
  <c r="B105" i="4"/>
  <c r="A102" i="4"/>
  <c r="AM104" i="4"/>
  <c r="AL104" i="4"/>
  <c r="AK104" i="4"/>
  <c r="AJ104" i="4"/>
  <c r="AG104" i="4"/>
  <c r="AF104" i="4"/>
  <c r="AE104" i="4"/>
  <c r="AD104" i="4"/>
  <c r="AA104" i="4"/>
  <c r="Z104" i="4"/>
  <c r="Y104" i="4"/>
  <c r="X104" i="4"/>
  <c r="U104" i="4"/>
  <c r="T104" i="4"/>
  <c r="S104" i="4"/>
  <c r="R104" i="4"/>
  <c r="O104" i="4"/>
  <c r="N104" i="4"/>
  <c r="M104" i="4"/>
  <c r="L104" i="4"/>
  <c r="I104" i="4"/>
  <c r="H104" i="4"/>
  <c r="G104" i="4"/>
  <c r="F104" i="4"/>
  <c r="A99" i="4"/>
  <c r="A97" i="4"/>
  <c r="A95" i="4"/>
  <c r="A94" i="4"/>
  <c r="A93" i="4"/>
  <c r="A92" i="4"/>
  <c r="A91" i="4"/>
  <c r="A90" i="4"/>
  <c r="A89" i="4"/>
  <c r="A88" i="4"/>
  <c r="A86" i="4"/>
  <c r="A84" i="4"/>
  <c r="A83" i="4"/>
  <c r="A82" i="4"/>
  <c r="A81" i="4"/>
  <c r="A80" i="4"/>
  <c r="A79" i="4"/>
  <c r="A78" i="4"/>
  <c r="A77" i="4"/>
  <c r="A74" i="4"/>
  <c r="AM76" i="4"/>
  <c r="AL76" i="4"/>
  <c r="AK76" i="4"/>
  <c r="AJ76" i="4"/>
  <c r="AG76" i="4"/>
  <c r="AF76" i="4"/>
  <c r="AE76" i="4"/>
  <c r="AD76" i="4"/>
  <c r="AA76" i="4"/>
  <c r="Z76" i="4"/>
  <c r="Y76" i="4"/>
  <c r="X76" i="4"/>
  <c r="U76" i="4"/>
  <c r="T76" i="4"/>
  <c r="S76" i="4"/>
  <c r="R76" i="4"/>
  <c r="O76" i="4"/>
  <c r="N76" i="4"/>
  <c r="M76" i="4"/>
  <c r="L76" i="4"/>
  <c r="I76" i="4"/>
  <c r="H76" i="4"/>
  <c r="G76" i="4"/>
  <c r="F76" i="4"/>
  <c r="B71" i="4"/>
  <c r="A60" i="4"/>
  <c r="A54" i="4"/>
  <c r="A53" i="4"/>
  <c r="A52" i="4"/>
  <c r="A51" i="4"/>
  <c r="A50" i="4"/>
  <c r="B54" i="4"/>
  <c r="B53" i="4"/>
  <c r="B52" i="4"/>
  <c r="B51" i="4"/>
  <c r="B50" i="4"/>
  <c r="B60" i="4"/>
  <c r="B44" i="4"/>
  <c r="B43" i="4"/>
  <c r="B42" i="4"/>
  <c r="A44" i="4"/>
  <c r="A43" i="4"/>
  <c r="A42" i="4"/>
  <c r="A30" i="4"/>
  <c r="A27" i="4"/>
  <c r="B32" i="4"/>
  <c r="B31" i="4"/>
  <c r="B30" i="4"/>
  <c r="AM29" i="4"/>
  <c r="AL29" i="4"/>
  <c r="AK29" i="4"/>
  <c r="AJ29" i="4"/>
  <c r="AG29" i="4"/>
  <c r="AF29" i="4"/>
  <c r="AE29" i="4"/>
  <c r="AD29" i="4"/>
  <c r="AA29" i="4"/>
  <c r="Z29" i="4"/>
  <c r="Y29" i="4"/>
  <c r="X29" i="4"/>
  <c r="U29" i="4"/>
  <c r="T29" i="4"/>
  <c r="S29" i="4"/>
  <c r="R29" i="4"/>
  <c r="O29" i="4"/>
  <c r="N29" i="4"/>
  <c r="M29" i="4"/>
  <c r="L29" i="4"/>
  <c r="I29" i="4"/>
  <c r="H29" i="4"/>
  <c r="G29" i="4"/>
  <c r="F29" i="4"/>
  <c r="B49" i="9"/>
  <c r="A49" i="9"/>
  <c r="B9" i="26" l="1"/>
  <c r="A8" i="26"/>
  <c r="A12" i="26"/>
  <c r="A11" i="26"/>
  <c r="A9" i="26"/>
  <c r="A7" i="26"/>
  <c r="A15" i="26"/>
  <c r="A14" i="26"/>
  <c r="A13" i="26"/>
  <c r="A10" i="26"/>
  <c r="A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2" i="26"/>
  <c r="B41" i="26"/>
  <c r="B40" i="26"/>
  <c r="B39" i="26"/>
  <c r="B38" i="26"/>
  <c r="B37" i="26"/>
  <c r="B36" i="26"/>
  <c r="B35" i="26"/>
  <c r="B34" i="26"/>
  <c r="B30" i="26"/>
  <c r="B29" i="26"/>
  <c r="B28" i="26"/>
  <c r="B27" i="26"/>
  <c r="B26" i="26"/>
  <c r="B25" i="26"/>
  <c r="B24" i="26"/>
  <c r="B23" i="26"/>
  <c r="B22" i="26"/>
  <c r="B21" i="26"/>
  <c r="B20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2" i="26"/>
  <c r="A41" i="26"/>
  <c r="A40" i="26"/>
  <c r="A39" i="26"/>
  <c r="A38" i="26"/>
  <c r="A37" i="26"/>
  <c r="A36" i="26"/>
  <c r="A35" i="26"/>
  <c r="A34" i="26"/>
  <c r="A33" i="26"/>
  <c r="A32" i="26"/>
  <c r="A30" i="26"/>
  <c r="A29" i="26"/>
  <c r="A28" i="26"/>
  <c r="A27" i="26"/>
  <c r="A26" i="26"/>
  <c r="A25" i="26"/>
  <c r="A24" i="26"/>
  <c r="A23" i="26"/>
  <c r="A22" i="26"/>
  <c r="A21" i="26"/>
  <c r="A20" i="26"/>
  <c r="A57" i="26"/>
  <c r="A17" i="26"/>
  <c r="AM19" i="26" l="1"/>
  <c r="AL19" i="26"/>
  <c r="AK19" i="26"/>
  <c r="AJ19" i="26"/>
  <c r="AG19" i="26"/>
  <c r="AF19" i="26"/>
  <c r="AE19" i="26"/>
  <c r="AD19" i="26"/>
  <c r="AA19" i="26"/>
  <c r="Z19" i="26"/>
  <c r="Y19" i="26"/>
  <c r="X19" i="26"/>
  <c r="U19" i="26"/>
  <c r="T19" i="26"/>
  <c r="S19" i="26"/>
  <c r="R19" i="26"/>
  <c r="O19" i="26"/>
  <c r="N19" i="26"/>
  <c r="M19" i="26"/>
  <c r="L19" i="26"/>
  <c r="I19" i="26"/>
  <c r="H19" i="26"/>
  <c r="G19" i="26"/>
  <c r="F19" i="26"/>
  <c r="B15" i="26"/>
  <c r="B14" i="26"/>
  <c r="B13" i="26"/>
  <c r="B12" i="26"/>
  <c r="B11" i="26"/>
  <c r="B10" i="26"/>
  <c r="B8" i="26"/>
  <c r="B7" i="26"/>
  <c r="B6" i="26"/>
  <c r="AM5" i="26"/>
  <c r="AL5" i="26"/>
  <c r="AK5" i="26"/>
  <c r="AJ5" i="26"/>
  <c r="AG5" i="26"/>
  <c r="AF5" i="26"/>
  <c r="AE5" i="26"/>
  <c r="AD5" i="26"/>
  <c r="AA5" i="26"/>
  <c r="Z5" i="26"/>
  <c r="Y5" i="26"/>
  <c r="X5" i="26"/>
  <c r="U5" i="26"/>
  <c r="T5" i="26"/>
  <c r="S5" i="26"/>
  <c r="R5" i="26"/>
  <c r="O5" i="26"/>
  <c r="N5" i="26"/>
  <c r="M5" i="26"/>
  <c r="L5" i="26"/>
  <c r="I5" i="26"/>
  <c r="H5" i="26"/>
  <c r="G5" i="26"/>
  <c r="F5" i="26"/>
  <c r="B49" i="2" l="1"/>
  <c r="B83" i="3" l="1"/>
  <c r="B82" i="3"/>
  <c r="B80" i="3"/>
  <c r="B79" i="3"/>
  <c r="B76" i="3"/>
  <c r="B77" i="3"/>
  <c r="A46" i="3"/>
  <c r="A22" i="3"/>
  <c r="A87" i="21"/>
  <c r="A69" i="21"/>
  <c r="A11" i="21" l="1"/>
  <c r="B32" i="21"/>
  <c r="A32" i="21"/>
  <c r="B31" i="21"/>
  <c r="A31" i="21"/>
  <c r="B30" i="21"/>
  <c r="B29" i="21"/>
  <c r="A29" i="21"/>
  <c r="B28" i="21"/>
  <c r="A28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AM18" i="21"/>
  <c r="AL18" i="21"/>
  <c r="AK18" i="21"/>
  <c r="AJ18" i="21"/>
  <c r="AG18" i="21"/>
  <c r="AF18" i="21"/>
  <c r="AE18" i="21"/>
  <c r="AD18" i="21"/>
  <c r="AA18" i="21"/>
  <c r="Z18" i="21"/>
  <c r="Y18" i="21"/>
  <c r="X18" i="21"/>
  <c r="U18" i="21"/>
  <c r="T18" i="21"/>
  <c r="S18" i="21"/>
  <c r="R18" i="21"/>
  <c r="O18" i="21"/>
  <c r="N18" i="21"/>
  <c r="M18" i="21"/>
  <c r="L18" i="21"/>
  <c r="I18" i="21"/>
  <c r="H18" i="21"/>
  <c r="G18" i="21"/>
  <c r="F18" i="21"/>
  <c r="A16" i="21"/>
  <c r="B68" i="21" l="1"/>
  <c r="A68" i="21"/>
  <c r="B67" i="21"/>
  <c r="A67" i="21"/>
  <c r="B66" i="21"/>
  <c r="B65" i="21"/>
  <c r="A65" i="21"/>
  <c r="B64" i="21"/>
  <c r="A64" i="21"/>
  <c r="B63" i="21"/>
  <c r="A63" i="21"/>
  <c r="B62" i="21"/>
  <c r="A62" i="21"/>
  <c r="B61" i="21"/>
  <c r="A61" i="21"/>
  <c r="B60" i="21"/>
  <c r="A60" i="21"/>
  <c r="B59" i="21"/>
  <c r="A59" i="21"/>
  <c r="B58" i="21"/>
  <c r="A58" i="21"/>
  <c r="B57" i="21"/>
  <c r="A57" i="21"/>
  <c r="B56" i="21"/>
  <c r="A56" i="21"/>
  <c r="B55" i="21"/>
  <c r="A55" i="21"/>
  <c r="AM54" i="21"/>
  <c r="AL54" i="21"/>
  <c r="AK54" i="21"/>
  <c r="AJ54" i="21"/>
  <c r="AG54" i="21"/>
  <c r="AF54" i="21"/>
  <c r="AE54" i="21"/>
  <c r="AD54" i="21"/>
  <c r="AA54" i="21"/>
  <c r="Z54" i="21"/>
  <c r="Y54" i="21"/>
  <c r="X54" i="21"/>
  <c r="U54" i="21"/>
  <c r="T54" i="21"/>
  <c r="S54" i="21"/>
  <c r="R54" i="21"/>
  <c r="O54" i="21"/>
  <c r="N54" i="21"/>
  <c r="M54" i="21"/>
  <c r="L54" i="21"/>
  <c r="I54" i="21"/>
  <c r="H54" i="21"/>
  <c r="G54" i="21"/>
  <c r="F54" i="21"/>
  <c r="I72" i="21" l="1"/>
  <c r="H72" i="21"/>
  <c r="G72" i="21"/>
  <c r="F72" i="21"/>
  <c r="I7" i="21"/>
  <c r="H7" i="21"/>
  <c r="G7" i="21"/>
  <c r="F7" i="21"/>
  <c r="A88" i="3" l="1"/>
  <c r="A83" i="3" l="1"/>
  <c r="A80" i="3"/>
  <c r="A77" i="3"/>
  <c r="A82" i="3"/>
  <c r="A79" i="3"/>
  <c r="A76" i="3"/>
  <c r="A9" i="2"/>
  <c r="A135" i="3"/>
  <c r="A139" i="3"/>
  <c r="AM19" i="20" l="1"/>
  <c r="AL19" i="20"/>
  <c r="AK19" i="20"/>
  <c r="AJ19" i="20"/>
  <c r="AM7" i="20"/>
  <c r="AL7" i="20"/>
  <c r="AK7" i="20"/>
  <c r="AJ7" i="20"/>
  <c r="AM37" i="17"/>
  <c r="AL37" i="17"/>
  <c r="AK37" i="17"/>
  <c r="AJ37" i="17"/>
  <c r="AM7" i="17"/>
  <c r="AL7" i="17"/>
  <c r="AK7" i="17"/>
  <c r="AJ7" i="17"/>
  <c r="AM59" i="4"/>
  <c r="AL59" i="4"/>
  <c r="AK59" i="4"/>
  <c r="AJ59" i="4"/>
  <c r="AM41" i="4"/>
  <c r="AL41" i="4"/>
  <c r="AK41" i="4"/>
  <c r="AJ41" i="4"/>
  <c r="AM19" i="4"/>
  <c r="AL19" i="4"/>
  <c r="AK19" i="4"/>
  <c r="AJ19" i="4"/>
  <c r="AM9" i="4"/>
  <c r="AL9" i="4"/>
  <c r="AK9" i="4"/>
  <c r="AJ9" i="4"/>
  <c r="AM53" i="9"/>
  <c r="AL53" i="9"/>
  <c r="AK53" i="9"/>
  <c r="AJ53" i="9"/>
  <c r="AM19" i="9"/>
  <c r="AL19" i="9"/>
  <c r="AK19" i="9"/>
  <c r="AJ19" i="9"/>
  <c r="AM7" i="9"/>
  <c r="AL7" i="9"/>
  <c r="AK7" i="9"/>
  <c r="AJ7" i="9"/>
  <c r="AM36" i="24"/>
  <c r="AL36" i="24"/>
  <c r="AK36" i="24"/>
  <c r="AJ36" i="24"/>
  <c r="AM32" i="24"/>
  <c r="AL32" i="24"/>
  <c r="AK32" i="24"/>
  <c r="AJ32" i="24"/>
  <c r="AM18" i="24"/>
  <c r="AL18" i="24"/>
  <c r="AK18" i="24"/>
  <c r="AJ18" i="24"/>
  <c r="AM7" i="24"/>
  <c r="AL7" i="24"/>
  <c r="AK7" i="24"/>
  <c r="AJ7" i="24"/>
  <c r="AM72" i="21"/>
  <c r="AL72" i="21"/>
  <c r="AK72" i="21"/>
  <c r="AJ72" i="21"/>
  <c r="AM35" i="21"/>
  <c r="AL35" i="21"/>
  <c r="AK35" i="21"/>
  <c r="AJ35" i="21"/>
  <c r="AM7" i="21"/>
  <c r="AL7" i="21"/>
  <c r="AK7" i="21"/>
  <c r="AJ7" i="21"/>
  <c r="AM7" i="2"/>
  <c r="AL7" i="2"/>
  <c r="AK7" i="2"/>
  <c r="AJ7" i="2"/>
  <c r="AM7" i="3"/>
  <c r="AL7" i="3"/>
  <c r="AK7" i="3"/>
  <c r="AJ7" i="3"/>
  <c r="B98" i="3" l="1"/>
  <c r="A98" i="3"/>
  <c r="A41" i="2" l="1"/>
  <c r="A132" i="3" l="1"/>
  <c r="A128" i="3"/>
  <c r="A116" i="1"/>
  <c r="A78" i="1"/>
  <c r="A71" i="1" l="1"/>
  <c r="A102" i="1"/>
  <c r="A13" i="1" l="1"/>
  <c r="A62" i="2" l="1"/>
  <c r="A56" i="2"/>
  <c r="A148" i="3" l="1"/>
  <c r="A10" i="17" l="1"/>
  <c r="A72" i="3"/>
  <c r="A58" i="3"/>
  <c r="A86" i="1" l="1"/>
  <c r="A120" i="1"/>
  <c r="A106" i="3" l="1"/>
  <c r="A105" i="3"/>
  <c r="B41" i="9" l="1"/>
  <c r="B42" i="9"/>
  <c r="B44" i="9"/>
  <c r="B45" i="9"/>
  <c r="B28" i="9"/>
  <c r="B29" i="9"/>
  <c r="B30" i="9"/>
  <c r="B31" i="9"/>
  <c r="B32" i="9"/>
  <c r="B33" i="9"/>
  <c r="B34" i="9"/>
  <c r="A45" i="9"/>
  <c r="A44" i="9"/>
  <c r="A42" i="9"/>
  <c r="A41" i="9"/>
  <c r="A34" i="9"/>
  <c r="A33" i="9"/>
  <c r="A32" i="9"/>
  <c r="A31" i="9"/>
  <c r="A30" i="9"/>
  <c r="A29" i="9"/>
  <c r="A28" i="9"/>
  <c r="A69" i="1" l="1"/>
  <c r="B93" i="3" l="1"/>
  <c r="B105" i="3"/>
  <c r="B106" i="3"/>
  <c r="A93" i="3"/>
  <c r="AG19" i="20" l="1"/>
  <c r="AF19" i="20"/>
  <c r="AE19" i="20"/>
  <c r="AD19" i="20"/>
  <c r="AG7" i="20"/>
  <c r="AF7" i="20"/>
  <c r="AE7" i="20"/>
  <c r="AD7" i="20"/>
  <c r="AG37" i="17"/>
  <c r="AF37" i="17"/>
  <c r="AE37" i="17"/>
  <c r="AD37" i="17"/>
  <c r="AG7" i="17"/>
  <c r="AF7" i="17"/>
  <c r="AE7" i="17"/>
  <c r="AD7" i="17"/>
  <c r="AG59" i="4"/>
  <c r="AF59" i="4"/>
  <c r="AE59" i="4"/>
  <c r="AD59" i="4"/>
  <c r="AG41" i="4"/>
  <c r="AF41" i="4"/>
  <c r="AE41" i="4"/>
  <c r="AD41" i="4"/>
  <c r="AG19" i="4"/>
  <c r="AF19" i="4"/>
  <c r="AE19" i="4"/>
  <c r="AD19" i="4"/>
  <c r="AG9" i="4"/>
  <c r="AF9" i="4"/>
  <c r="AE9" i="4"/>
  <c r="AD9" i="4"/>
  <c r="AG53" i="9"/>
  <c r="AF53" i="9"/>
  <c r="AE53" i="9"/>
  <c r="AD53" i="9"/>
  <c r="AG19" i="9"/>
  <c r="AF19" i="9"/>
  <c r="AE19" i="9"/>
  <c r="AD19" i="9"/>
  <c r="AG7" i="9"/>
  <c r="AF7" i="9"/>
  <c r="AE7" i="9"/>
  <c r="AD7" i="9"/>
  <c r="AG36" i="24"/>
  <c r="AF36" i="24"/>
  <c r="AE36" i="24"/>
  <c r="AD36" i="24"/>
  <c r="AG32" i="24"/>
  <c r="AF32" i="24"/>
  <c r="AE32" i="24"/>
  <c r="AD32" i="24"/>
  <c r="AG18" i="24"/>
  <c r="AF18" i="24"/>
  <c r="AE18" i="24"/>
  <c r="AD18" i="24"/>
  <c r="AG7" i="24"/>
  <c r="AF7" i="24"/>
  <c r="AE7" i="24"/>
  <c r="AD7" i="24"/>
  <c r="AG72" i="21"/>
  <c r="AF72" i="21"/>
  <c r="AE72" i="21"/>
  <c r="AD72" i="21"/>
  <c r="AG35" i="21"/>
  <c r="AF35" i="21"/>
  <c r="AE35" i="21"/>
  <c r="AD35" i="21"/>
  <c r="AG7" i="21"/>
  <c r="AF7" i="21"/>
  <c r="AE7" i="21"/>
  <c r="AD7" i="21"/>
  <c r="AG7" i="2"/>
  <c r="AF7" i="2"/>
  <c r="AE7" i="2"/>
  <c r="AD7" i="2"/>
  <c r="AG7" i="3"/>
  <c r="AF7" i="3"/>
  <c r="AE7" i="3"/>
  <c r="AD7" i="3"/>
  <c r="A20" i="2" l="1"/>
  <c r="A82" i="21" l="1"/>
  <c r="A16" i="17" l="1"/>
  <c r="A11" i="17"/>
  <c r="A77" i="21"/>
  <c r="A46" i="21"/>
  <c r="A40" i="21"/>
  <c r="A28" i="17" l="1"/>
  <c r="A27" i="17"/>
  <c r="A26" i="17"/>
  <c r="A24" i="17"/>
  <c r="A22" i="17"/>
  <c r="B27" i="17"/>
  <c r="B23" i="17"/>
  <c r="A23" i="17"/>
  <c r="A111" i="3"/>
  <c r="A108" i="3"/>
  <c r="A56" i="9" l="1"/>
  <c r="A55" i="9"/>
  <c r="A91" i="3"/>
  <c r="A87" i="3"/>
  <c r="A86" i="3"/>
  <c r="A26" i="20" l="1"/>
  <c r="A25" i="20"/>
  <c r="A22" i="20"/>
  <c r="A21" i="20"/>
  <c r="A13" i="20"/>
  <c r="A9" i="20"/>
  <c r="A14" i="20"/>
  <c r="A10" i="20"/>
  <c r="A29" i="17"/>
  <c r="A21" i="17"/>
  <c r="A38" i="9"/>
  <c r="A24" i="9"/>
  <c r="A23" i="2"/>
  <c r="A73" i="3"/>
  <c r="A119" i="1" l="1"/>
  <c r="A75" i="1"/>
  <c r="A83" i="21" l="1"/>
  <c r="A32" i="1"/>
  <c r="A21" i="2"/>
  <c r="A147" i="3" l="1"/>
  <c r="B13" i="1" l="1"/>
  <c r="A76" i="21" l="1"/>
  <c r="A39" i="21"/>
  <c r="A16" i="2"/>
  <c r="A67" i="1"/>
  <c r="A110" i="1" l="1"/>
  <c r="A79" i="1"/>
  <c r="A69" i="4" l="1"/>
  <c r="A68" i="4"/>
  <c r="A67" i="4"/>
  <c r="A66" i="4"/>
  <c r="A65" i="4"/>
  <c r="A64" i="4"/>
  <c r="A63" i="4"/>
  <c r="B32" i="1" l="1"/>
  <c r="A60" i="2"/>
  <c r="A57" i="2"/>
  <c r="B46" i="3" l="1"/>
  <c r="A48" i="3"/>
  <c r="A47" i="3"/>
  <c r="A24" i="3"/>
  <c r="A23" i="3"/>
  <c r="A45" i="1" l="1"/>
  <c r="AA19" i="20"/>
  <c r="Z19" i="20"/>
  <c r="Y19" i="20"/>
  <c r="X19" i="20"/>
  <c r="AA7" i="20"/>
  <c r="Z7" i="20"/>
  <c r="Y7" i="20"/>
  <c r="X7" i="20"/>
  <c r="AA37" i="17"/>
  <c r="Z37" i="17"/>
  <c r="Y37" i="17"/>
  <c r="X37" i="17"/>
  <c r="AA7" i="17"/>
  <c r="Z7" i="17"/>
  <c r="Y7" i="17"/>
  <c r="X7" i="17"/>
  <c r="AA59" i="4"/>
  <c r="Z59" i="4"/>
  <c r="Y59" i="4"/>
  <c r="X59" i="4"/>
  <c r="AA41" i="4"/>
  <c r="Z41" i="4"/>
  <c r="Y41" i="4"/>
  <c r="X41" i="4"/>
  <c r="AA19" i="4"/>
  <c r="Z19" i="4"/>
  <c r="Y19" i="4"/>
  <c r="X19" i="4"/>
  <c r="AA9" i="4"/>
  <c r="Z9" i="4"/>
  <c r="Y9" i="4"/>
  <c r="X9" i="4"/>
  <c r="AA7" i="9"/>
  <c r="Z7" i="9"/>
  <c r="Y7" i="9"/>
  <c r="X7" i="9"/>
  <c r="AA53" i="9"/>
  <c r="Z53" i="9"/>
  <c r="Y53" i="9"/>
  <c r="X53" i="9"/>
  <c r="AA36" i="24"/>
  <c r="Z36" i="24"/>
  <c r="Y36" i="24"/>
  <c r="X36" i="24"/>
  <c r="AA32" i="24"/>
  <c r="Z32" i="24"/>
  <c r="Y32" i="24"/>
  <c r="X32" i="24"/>
  <c r="AA18" i="24"/>
  <c r="Z18" i="24"/>
  <c r="Y18" i="24"/>
  <c r="X18" i="24"/>
  <c r="AA7" i="24"/>
  <c r="Z7" i="24"/>
  <c r="Y7" i="24"/>
  <c r="X7" i="24"/>
  <c r="AA72" i="21" l="1"/>
  <c r="Z72" i="21"/>
  <c r="Y72" i="21"/>
  <c r="X72" i="21"/>
  <c r="AA35" i="21"/>
  <c r="Z35" i="21"/>
  <c r="Y35" i="21"/>
  <c r="X35" i="21"/>
  <c r="AA7" i="21"/>
  <c r="Z7" i="21"/>
  <c r="Y7" i="21"/>
  <c r="X7" i="21"/>
  <c r="AA7" i="2" l="1"/>
  <c r="Z7" i="2"/>
  <c r="Y7" i="2"/>
  <c r="X7" i="2"/>
  <c r="AA7" i="3"/>
  <c r="Z7" i="3"/>
  <c r="Y7" i="3"/>
  <c r="X7" i="3"/>
  <c r="A32" i="17" l="1"/>
  <c r="A33" i="17" l="1"/>
  <c r="A68" i="3" l="1"/>
  <c r="A70" i="3" l="1"/>
  <c r="A69" i="3"/>
  <c r="A14" i="2" l="1"/>
  <c r="A66" i="1" l="1"/>
  <c r="A26" i="1"/>
  <c r="A31" i="17" l="1"/>
  <c r="A54" i="2" l="1"/>
  <c r="A125" i="3"/>
  <c r="A124" i="3"/>
  <c r="A47" i="1" l="1"/>
  <c r="A149" i="3"/>
  <c r="A5" i="17" l="1"/>
  <c r="A25" i="17" l="1"/>
  <c r="A30" i="17"/>
  <c r="B69" i="4"/>
  <c r="B68" i="4"/>
  <c r="B67" i="4"/>
  <c r="B66" i="4"/>
  <c r="B65" i="4"/>
  <c r="B64" i="4"/>
  <c r="B63" i="4"/>
  <c r="A37" i="24"/>
  <c r="A33" i="24"/>
  <c r="A34" i="24"/>
  <c r="A38" i="24"/>
  <c r="A22" i="24"/>
  <c r="A20" i="24"/>
  <c r="A11" i="24"/>
  <c r="A9" i="24"/>
  <c r="B88" i="3"/>
  <c r="B87" i="3"/>
  <c r="B86" i="3"/>
  <c r="B85" i="3"/>
  <c r="A75" i="3"/>
  <c r="B73" i="3" l="1"/>
  <c r="B72" i="3"/>
  <c r="B71" i="3"/>
  <c r="B70" i="3"/>
  <c r="B69" i="3"/>
  <c r="B68" i="3"/>
  <c r="B67" i="3"/>
  <c r="B66" i="3"/>
  <c r="B65" i="3"/>
  <c r="B64" i="3"/>
  <c r="A71" i="3"/>
  <c r="A67" i="3"/>
  <c r="A66" i="3"/>
  <c r="A65" i="3"/>
  <c r="A64" i="3"/>
  <c r="A62" i="3"/>
  <c r="A61" i="3"/>
  <c r="A60" i="3"/>
  <c r="A55" i="3"/>
  <c r="A54" i="3"/>
  <c r="A53" i="3"/>
  <c r="A74" i="21"/>
  <c r="A73" i="21"/>
  <c r="A122" i="3" l="1"/>
  <c r="B54" i="2"/>
  <c r="A19" i="24" l="1"/>
  <c r="B22" i="3" l="1"/>
  <c r="A10" i="21" l="1"/>
  <c r="A5" i="21"/>
  <c r="A40" i="17"/>
  <c r="A54" i="9" l="1"/>
  <c r="A51" i="9"/>
  <c r="A27" i="9"/>
  <c r="B147" i="3" l="1"/>
  <c r="A14" i="21" l="1"/>
  <c r="B10" i="21"/>
  <c r="B9" i="21"/>
  <c r="B8" i="21"/>
  <c r="B26" i="20"/>
  <c r="B25" i="20"/>
  <c r="B24" i="20"/>
  <c r="B22" i="20"/>
  <c r="B21" i="20"/>
  <c r="B20" i="20"/>
  <c r="B14" i="20" l="1"/>
  <c r="B13" i="20"/>
  <c r="B12" i="20"/>
  <c r="B10" i="20"/>
  <c r="B9" i="20"/>
  <c r="B8" i="20"/>
  <c r="A35" i="17"/>
  <c r="B39" i="17"/>
  <c r="B38" i="17"/>
  <c r="B32" i="17"/>
  <c r="B31" i="17"/>
  <c r="B30" i="17"/>
  <c r="B29" i="17"/>
  <c r="B28" i="17"/>
  <c r="B26" i="17"/>
  <c r="B25" i="17"/>
  <c r="B24" i="17"/>
  <c r="B22" i="17"/>
  <c r="B21" i="17"/>
  <c r="B20" i="17"/>
  <c r="B19" i="17"/>
  <c r="B16" i="17"/>
  <c r="B15" i="17"/>
  <c r="B14" i="17"/>
  <c r="B13" i="17"/>
  <c r="B12" i="17"/>
  <c r="B11" i="17"/>
  <c r="B10" i="17"/>
  <c r="B9" i="17"/>
  <c r="B8" i="17"/>
  <c r="A57" i="4"/>
  <c r="A39" i="4"/>
  <c r="A17" i="4"/>
  <c r="A7" i="4"/>
  <c r="B62" i="4"/>
  <c r="B48" i="4"/>
  <c r="B47" i="4"/>
  <c r="B46" i="4"/>
  <c r="B22" i="4"/>
  <c r="B21" i="4"/>
  <c r="B20" i="4"/>
  <c r="B14" i="4"/>
  <c r="B13" i="4"/>
  <c r="B12" i="4"/>
  <c r="B11" i="4"/>
  <c r="B10" i="4"/>
  <c r="B56" i="9"/>
  <c r="B55" i="9"/>
  <c r="B54" i="9"/>
  <c r="A17" i="9"/>
  <c r="B47" i="9"/>
  <c r="B46" i="9"/>
  <c r="B40" i="9"/>
  <c r="B39" i="9"/>
  <c r="B38" i="9"/>
  <c r="B37" i="9"/>
  <c r="B36" i="9"/>
  <c r="B35" i="9"/>
  <c r="B27" i="9"/>
  <c r="B26" i="9"/>
  <c r="B25" i="9"/>
  <c r="B24" i="9"/>
  <c r="B23" i="9"/>
  <c r="B22" i="9"/>
  <c r="B21" i="9"/>
  <c r="B20" i="9"/>
  <c r="A5" i="9"/>
  <c r="B14" i="9"/>
  <c r="B13" i="9"/>
  <c r="B12" i="9"/>
  <c r="B11" i="9"/>
  <c r="B10" i="9"/>
  <c r="B9" i="9"/>
  <c r="B8" i="9"/>
  <c r="A27" i="24"/>
  <c r="A24" i="24"/>
  <c r="A21" i="24"/>
  <c r="B38" i="24"/>
  <c r="B37" i="24"/>
  <c r="B34" i="24"/>
  <c r="B33" i="24"/>
  <c r="B27" i="24"/>
  <c r="B26" i="24"/>
  <c r="B25" i="24"/>
  <c r="B23" i="24"/>
  <c r="B22" i="24"/>
  <c r="B20" i="24"/>
  <c r="B19" i="24"/>
  <c r="A16" i="24"/>
  <c r="A13" i="24"/>
  <c r="A10" i="24"/>
  <c r="A8" i="24"/>
  <c r="B16" i="24"/>
  <c r="B15" i="24"/>
  <c r="B14" i="24"/>
  <c r="B12" i="24"/>
  <c r="B11" i="24"/>
  <c r="B9" i="24"/>
  <c r="B8" i="24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A5" i="2"/>
  <c r="B62" i="2"/>
  <c r="B61" i="2"/>
  <c r="B60" i="2"/>
  <c r="B59" i="2"/>
  <c r="B58" i="2"/>
  <c r="B57" i="2"/>
  <c r="B56" i="2"/>
  <c r="B55" i="2"/>
  <c r="B53" i="2"/>
  <c r="B52" i="2"/>
  <c r="B51" i="2"/>
  <c r="B50" i="2"/>
  <c r="B48" i="2"/>
  <c r="B47" i="2"/>
  <c r="B46" i="2"/>
  <c r="B45" i="2"/>
  <c r="B43" i="2"/>
  <c r="B42" i="2"/>
  <c r="B41" i="2"/>
  <c r="B40" i="2"/>
  <c r="B39" i="2"/>
  <c r="B38" i="2"/>
  <c r="B37" i="2"/>
  <c r="B36" i="2"/>
  <c r="B35" i="2"/>
  <c r="B34" i="2"/>
  <c r="B32" i="2"/>
  <c r="B31" i="2"/>
  <c r="B30" i="2"/>
  <c r="B29" i="2"/>
  <c r="B28" i="2"/>
  <c r="B27" i="2"/>
  <c r="B26" i="2"/>
  <c r="B25" i="2"/>
  <c r="B24" i="2"/>
  <c r="B22" i="2"/>
  <c r="B20" i="2"/>
  <c r="B19" i="2"/>
  <c r="B18" i="2"/>
  <c r="B17" i="2"/>
  <c r="B16" i="2"/>
  <c r="B15" i="2"/>
  <c r="B14" i="2"/>
  <c r="B13" i="2"/>
  <c r="B12" i="2"/>
  <c r="B11" i="2"/>
  <c r="B9" i="2"/>
  <c r="A5" i="3" l="1"/>
  <c r="B156" i="3" l="1"/>
  <c r="B155" i="3"/>
  <c r="A45" i="3"/>
  <c r="A44" i="3"/>
  <c r="A42" i="3"/>
  <c r="A41" i="3"/>
  <c r="A39" i="3"/>
  <c r="A38" i="3"/>
  <c r="A36" i="3"/>
  <c r="A35" i="3"/>
  <c r="A33" i="3"/>
  <c r="A32" i="3"/>
  <c r="A30" i="3"/>
  <c r="A29" i="3"/>
  <c r="A21" i="3"/>
  <c r="A20" i="3"/>
  <c r="A18" i="3"/>
  <c r="A17" i="3"/>
  <c r="A15" i="3"/>
  <c r="A14" i="3"/>
  <c r="A12" i="3"/>
  <c r="A11" i="3"/>
  <c r="B45" i="3"/>
  <c r="B44" i="3"/>
  <c r="B42" i="3"/>
  <c r="B41" i="3"/>
  <c r="B39" i="3"/>
  <c r="B38" i="3"/>
  <c r="B36" i="3"/>
  <c r="B35" i="3"/>
  <c r="B33" i="3"/>
  <c r="B32" i="3"/>
  <c r="B30" i="3"/>
  <c r="B29" i="3"/>
  <c r="B21" i="3"/>
  <c r="B20" i="3"/>
  <c r="B18" i="3"/>
  <c r="B17" i="3"/>
  <c r="B15" i="3"/>
  <c r="B14" i="3"/>
  <c r="B12" i="3"/>
  <c r="B11" i="3"/>
  <c r="A118" i="1"/>
  <c r="B118" i="1"/>
  <c r="B117" i="1"/>
  <c r="B116" i="1"/>
  <c r="B152" i="3"/>
  <c r="B151" i="3"/>
  <c r="B150" i="3"/>
  <c r="B149" i="3"/>
  <c r="B148" i="3"/>
  <c r="B145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4" i="3"/>
  <c r="B103" i="3"/>
  <c r="B102" i="3"/>
  <c r="B101" i="3"/>
  <c r="B100" i="3"/>
  <c r="B99" i="3"/>
  <c r="B97" i="3"/>
  <c r="B96" i="3"/>
  <c r="B95" i="3"/>
  <c r="B94" i="3"/>
  <c r="B92" i="3"/>
  <c r="B91" i="3"/>
  <c r="B90" i="3"/>
  <c r="B89" i="3"/>
  <c r="B84" i="3"/>
  <c r="B81" i="3"/>
  <c r="B78" i="3"/>
  <c r="B75" i="3"/>
  <c r="B74" i="3"/>
  <c r="B63" i="3"/>
  <c r="B62" i="3"/>
  <c r="B61" i="3"/>
  <c r="B60" i="3"/>
  <c r="B59" i="3"/>
  <c r="B58" i="3"/>
  <c r="B57" i="3"/>
  <c r="B56" i="3"/>
  <c r="B55" i="3"/>
  <c r="B54" i="3"/>
  <c r="B53" i="3"/>
  <c r="B52" i="3"/>
  <c r="B50" i="3"/>
  <c r="B49" i="3"/>
  <c r="B43" i="3"/>
  <c r="B40" i="3"/>
  <c r="B37" i="3"/>
  <c r="B9" i="3"/>
  <c r="B10" i="3"/>
  <c r="B13" i="3"/>
  <c r="B16" i="3"/>
  <c r="B19" i="3"/>
  <c r="B25" i="3"/>
  <c r="B26" i="3"/>
  <c r="B27" i="3"/>
  <c r="B28" i="3"/>
  <c r="B31" i="3"/>
  <c r="B34" i="3"/>
  <c r="B8" i="3"/>
  <c r="A5" i="1"/>
  <c r="B129" i="1"/>
  <c r="B127" i="1"/>
  <c r="B126" i="1"/>
  <c r="B125" i="1"/>
  <c r="B124" i="1"/>
  <c r="B123" i="1"/>
  <c r="B122" i="1"/>
  <c r="B121" i="1"/>
  <c r="B120" i="1"/>
  <c r="B119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98" i="1"/>
  <c r="B97" i="1"/>
  <c r="B96" i="1"/>
  <c r="B95" i="1"/>
  <c r="B94" i="1"/>
  <c r="B93" i="1"/>
  <c r="B92" i="1"/>
  <c r="B91" i="1"/>
  <c r="B90" i="1"/>
  <c r="B89" i="1"/>
  <c r="B88" i="1"/>
  <c r="B87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8" i="1"/>
  <c r="B66" i="1"/>
  <c r="B67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1" i="1"/>
  <c r="B28" i="1"/>
  <c r="B26" i="1"/>
  <c r="B27" i="1"/>
  <c r="B25" i="1"/>
  <c r="B24" i="1"/>
  <c r="B23" i="1"/>
  <c r="B22" i="1"/>
  <c r="B21" i="1"/>
  <c r="B20" i="1"/>
  <c r="B19" i="1"/>
  <c r="B18" i="1"/>
  <c r="B17" i="1"/>
  <c r="B16" i="1"/>
  <c r="B15" i="1"/>
  <c r="B14" i="1"/>
  <c r="B12" i="1"/>
  <c r="B11" i="1"/>
  <c r="B10" i="1"/>
  <c r="A129" i="1"/>
  <c r="R19" i="20" l="1"/>
  <c r="R7" i="20"/>
  <c r="U19" i="20"/>
  <c r="T19" i="20"/>
  <c r="S19" i="20"/>
  <c r="U7" i="20"/>
  <c r="T7" i="20"/>
  <c r="S7" i="20"/>
  <c r="O7" i="20"/>
  <c r="N7" i="20"/>
  <c r="M7" i="20"/>
  <c r="L7" i="20"/>
  <c r="I7" i="20"/>
  <c r="H7" i="20"/>
  <c r="G7" i="20"/>
  <c r="F7" i="20"/>
  <c r="U37" i="17"/>
  <c r="T37" i="17"/>
  <c r="S37" i="17"/>
  <c r="R37" i="17"/>
  <c r="U7" i="17"/>
  <c r="T7" i="17"/>
  <c r="S7" i="17"/>
  <c r="R7" i="17"/>
  <c r="R59" i="4"/>
  <c r="R41" i="4"/>
  <c r="R19" i="4"/>
  <c r="U59" i="4"/>
  <c r="T59" i="4"/>
  <c r="S59" i="4"/>
  <c r="U41" i="4"/>
  <c r="T41" i="4"/>
  <c r="S41" i="4"/>
  <c r="U19" i="4"/>
  <c r="T19" i="4"/>
  <c r="S19" i="4"/>
  <c r="U9" i="4"/>
  <c r="T9" i="4"/>
  <c r="S9" i="4"/>
  <c r="R9" i="4"/>
  <c r="U53" i="9"/>
  <c r="T53" i="9"/>
  <c r="S53" i="9"/>
  <c r="R53" i="9"/>
  <c r="R7" i="9"/>
  <c r="U7" i="9"/>
  <c r="T7" i="9"/>
  <c r="S7" i="9"/>
  <c r="U36" i="24"/>
  <c r="T36" i="24"/>
  <c r="S36" i="24"/>
  <c r="R36" i="24"/>
  <c r="U32" i="24"/>
  <c r="T32" i="24"/>
  <c r="S32" i="24"/>
  <c r="R32" i="24"/>
  <c r="U18" i="24"/>
  <c r="T18" i="24"/>
  <c r="S18" i="24"/>
  <c r="R18" i="24"/>
  <c r="U7" i="24"/>
  <c r="T7" i="24"/>
  <c r="S7" i="24"/>
  <c r="R7" i="24"/>
  <c r="U72" i="21"/>
  <c r="T72" i="21"/>
  <c r="S72" i="21"/>
  <c r="R72" i="21"/>
  <c r="U35" i="21"/>
  <c r="T35" i="21"/>
  <c r="S35" i="21"/>
  <c r="R35" i="21"/>
  <c r="U7" i="21"/>
  <c r="T7" i="21"/>
  <c r="S7" i="21"/>
  <c r="R7" i="21"/>
  <c r="U7" i="2"/>
  <c r="T7" i="2"/>
  <c r="S7" i="2"/>
  <c r="R7" i="2"/>
  <c r="U7" i="3"/>
  <c r="T7" i="3"/>
  <c r="S7" i="3"/>
  <c r="R7" i="3"/>
  <c r="A14" i="17" l="1"/>
  <c r="A13" i="17"/>
  <c r="A12" i="17"/>
  <c r="A81" i="3" l="1"/>
  <c r="A78" i="3"/>
  <c r="A5" i="20" l="1"/>
  <c r="A19" i="3" l="1"/>
  <c r="A43" i="3"/>
  <c r="A8" i="3" l="1"/>
  <c r="A9" i="3"/>
  <c r="A10" i="3"/>
  <c r="A13" i="3"/>
  <c r="A16" i="3"/>
  <c r="A25" i="3"/>
  <c r="A26" i="3"/>
  <c r="A27" i="3"/>
  <c r="A28" i="3"/>
  <c r="A31" i="3"/>
  <c r="A34" i="3"/>
  <c r="A37" i="3"/>
  <c r="A40" i="3"/>
  <c r="A49" i="3"/>
  <c r="A50" i="3"/>
  <c r="A51" i="3"/>
  <c r="A52" i="3"/>
  <c r="A63" i="3"/>
  <c r="A74" i="3"/>
  <c r="A84" i="3"/>
  <c r="A89" i="3"/>
  <c r="A90" i="3"/>
  <c r="A92" i="3"/>
  <c r="A95" i="3"/>
  <c r="A96" i="3"/>
  <c r="A97" i="3"/>
  <c r="A100" i="3"/>
  <c r="A101" i="3"/>
  <c r="A102" i="3"/>
  <c r="A103" i="3"/>
  <c r="A104" i="3"/>
  <c r="A107" i="3"/>
  <c r="A109" i="3"/>
  <c r="A110" i="3"/>
  <c r="A113" i="3"/>
  <c r="A114" i="3"/>
  <c r="A115" i="3"/>
  <c r="A116" i="3"/>
  <c r="A117" i="3"/>
  <c r="A118" i="3"/>
  <c r="A119" i="3"/>
  <c r="A120" i="3"/>
  <c r="A121" i="3"/>
  <c r="A123" i="3"/>
  <c r="A126" i="3"/>
  <c r="A127" i="3"/>
  <c r="A129" i="3"/>
  <c r="A130" i="3"/>
  <c r="A131" i="3"/>
  <c r="A133" i="3"/>
  <c r="A134" i="3"/>
  <c r="A136" i="3"/>
  <c r="A137" i="3"/>
  <c r="A138" i="3"/>
  <c r="A143" i="3"/>
  <c r="A144" i="3"/>
  <c r="A145" i="3"/>
  <c r="A146" i="3"/>
  <c r="A150" i="3"/>
  <c r="A155" i="3"/>
  <c r="A156" i="3"/>
  <c r="A98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31" i="1"/>
  <c r="A33" i="1"/>
  <c r="A34" i="1"/>
  <c r="A35" i="1"/>
  <c r="A36" i="1"/>
  <c r="A37" i="1"/>
  <c r="A38" i="1"/>
  <c r="A39" i="1"/>
  <c r="A40" i="1"/>
  <c r="A41" i="1"/>
  <c r="A42" i="1"/>
  <c r="A43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8" i="1"/>
  <c r="A70" i="1"/>
  <c r="A72" i="1"/>
  <c r="A73" i="1"/>
  <c r="A74" i="1"/>
  <c r="A76" i="1"/>
  <c r="A77" i="1"/>
  <c r="A80" i="1"/>
  <c r="A81" i="1"/>
  <c r="A82" i="1"/>
  <c r="A83" i="1"/>
  <c r="A84" i="1"/>
  <c r="A85" i="1"/>
  <c r="A87" i="1"/>
  <c r="A88" i="1"/>
  <c r="A89" i="1"/>
  <c r="A90" i="1"/>
  <c r="A91" i="1"/>
  <c r="A92" i="1"/>
  <c r="A93" i="1"/>
  <c r="A94" i="1"/>
  <c r="A95" i="1"/>
  <c r="A96" i="1"/>
  <c r="A97" i="1"/>
  <c r="A103" i="1"/>
  <c r="A104" i="1"/>
  <c r="A105" i="1"/>
  <c r="A106" i="1"/>
  <c r="A107" i="1"/>
  <c r="A108" i="1"/>
  <c r="A109" i="1"/>
  <c r="A111" i="1"/>
  <c r="A112" i="1"/>
  <c r="A113" i="1"/>
  <c r="A114" i="1"/>
  <c r="A115" i="1"/>
  <c r="A121" i="1"/>
  <c r="A122" i="1"/>
  <c r="A123" i="1"/>
  <c r="A124" i="1"/>
  <c r="A125" i="1"/>
  <c r="A126" i="1"/>
  <c r="A127" i="1"/>
  <c r="O19" i="20" l="1"/>
  <c r="N19" i="20"/>
  <c r="M19" i="20"/>
  <c r="L19" i="20"/>
  <c r="I19" i="20"/>
  <c r="H19" i="20"/>
  <c r="G19" i="20"/>
  <c r="F19" i="20"/>
  <c r="O37" i="17"/>
  <c r="N37" i="17"/>
  <c r="M37" i="17"/>
  <c r="L37" i="17"/>
  <c r="I37" i="17"/>
  <c r="H37" i="17"/>
  <c r="G37" i="17"/>
  <c r="F37" i="17"/>
  <c r="O7" i="17"/>
  <c r="N7" i="17"/>
  <c r="M7" i="17"/>
  <c r="L7" i="17"/>
  <c r="I7" i="17"/>
  <c r="H7" i="17"/>
  <c r="G7" i="17"/>
  <c r="F7" i="17"/>
  <c r="O59" i="4"/>
  <c r="N59" i="4"/>
  <c r="M59" i="4"/>
  <c r="L59" i="4"/>
  <c r="I59" i="4"/>
  <c r="H59" i="4"/>
  <c r="G59" i="4"/>
  <c r="F59" i="4"/>
  <c r="O41" i="4"/>
  <c r="N41" i="4"/>
  <c r="M41" i="4"/>
  <c r="L41" i="4"/>
  <c r="I41" i="4"/>
  <c r="H41" i="4"/>
  <c r="G41" i="4"/>
  <c r="F41" i="4"/>
  <c r="O19" i="4"/>
  <c r="N19" i="4"/>
  <c r="M19" i="4"/>
  <c r="L19" i="4"/>
  <c r="I19" i="4"/>
  <c r="H19" i="4"/>
  <c r="G19" i="4"/>
  <c r="F19" i="4"/>
  <c r="O9" i="4"/>
  <c r="N9" i="4"/>
  <c r="M9" i="4"/>
  <c r="L9" i="4"/>
  <c r="I9" i="4"/>
  <c r="H9" i="4"/>
  <c r="G9" i="4"/>
  <c r="F9" i="4"/>
  <c r="O53" i="9"/>
  <c r="N53" i="9"/>
  <c r="M53" i="9"/>
  <c r="L53" i="9"/>
  <c r="I53" i="9"/>
  <c r="H53" i="9"/>
  <c r="G53" i="9"/>
  <c r="F53" i="9"/>
  <c r="O7" i="9"/>
  <c r="N7" i="9"/>
  <c r="M7" i="9"/>
  <c r="L7" i="9"/>
  <c r="I7" i="9"/>
  <c r="H7" i="9"/>
  <c r="G7" i="9"/>
  <c r="F7" i="9"/>
  <c r="O36" i="24"/>
  <c r="N36" i="24"/>
  <c r="M36" i="24"/>
  <c r="L36" i="24"/>
  <c r="I36" i="24"/>
  <c r="H36" i="24"/>
  <c r="G36" i="24"/>
  <c r="F36" i="24"/>
  <c r="O32" i="24"/>
  <c r="N32" i="24"/>
  <c r="M32" i="24"/>
  <c r="L32" i="24"/>
  <c r="I32" i="24"/>
  <c r="H32" i="24"/>
  <c r="G32" i="24"/>
  <c r="F32" i="24"/>
  <c r="O18" i="24"/>
  <c r="N18" i="24"/>
  <c r="M18" i="24"/>
  <c r="L18" i="24"/>
  <c r="I18" i="24"/>
  <c r="H18" i="24"/>
  <c r="G18" i="24"/>
  <c r="F18" i="24"/>
  <c r="O7" i="24"/>
  <c r="N7" i="24"/>
  <c r="M7" i="24"/>
  <c r="L7" i="24"/>
  <c r="I7" i="24"/>
  <c r="H7" i="24"/>
  <c r="G7" i="24"/>
  <c r="F7" i="24"/>
  <c r="O72" i="21"/>
  <c r="N72" i="21"/>
  <c r="M72" i="21"/>
  <c r="L72" i="21"/>
  <c r="O35" i="21"/>
  <c r="N35" i="21"/>
  <c r="M35" i="21"/>
  <c r="L35" i="21"/>
  <c r="I35" i="21"/>
  <c r="H35" i="21"/>
  <c r="G35" i="21"/>
  <c r="F35" i="21"/>
  <c r="O7" i="21"/>
  <c r="N7" i="21"/>
  <c r="M7" i="21"/>
  <c r="L7" i="21"/>
  <c r="O7" i="2"/>
  <c r="N7" i="2"/>
  <c r="M7" i="2"/>
  <c r="L7" i="2"/>
  <c r="I7" i="2"/>
  <c r="H7" i="2"/>
  <c r="G7" i="2"/>
  <c r="F7" i="2"/>
  <c r="O7" i="3"/>
  <c r="N7" i="3"/>
  <c r="M7" i="3"/>
  <c r="L7" i="3"/>
  <c r="I7" i="3"/>
  <c r="H7" i="3"/>
  <c r="G7" i="3"/>
  <c r="F7" i="3"/>
  <c r="A28" i="20" l="1"/>
  <c r="A17" i="20"/>
  <c r="A2" i="20"/>
  <c r="C27" i="10"/>
  <c r="A39" i="17"/>
  <c r="A42" i="17"/>
  <c r="A38" i="17"/>
  <c r="A20" i="17"/>
  <c r="A19" i="17"/>
  <c r="A15" i="17"/>
  <c r="A9" i="17"/>
  <c r="A8" i="17"/>
  <c r="A2" i="17"/>
  <c r="A35" i="2"/>
  <c r="A34" i="2"/>
  <c r="C26" i="10"/>
  <c r="A37" i="4" l="1"/>
  <c r="A48" i="4"/>
  <c r="A47" i="4"/>
  <c r="A46" i="4"/>
  <c r="A20" i="4"/>
  <c r="A10" i="4"/>
  <c r="A5" i="4"/>
  <c r="A2" i="4"/>
  <c r="A2" i="9"/>
  <c r="C23" i="10"/>
  <c r="A58" i="9"/>
  <c r="A47" i="9"/>
  <c r="A46" i="9"/>
  <c r="A40" i="9"/>
  <c r="A39" i="9"/>
  <c r="A37" i="9"/>
  <c r="A36" i="9"/>
  <c r="A35" i="9"/>
  <c r="A26" i="9"/>
  <c r="A25" i="9"/>
  <c r="A23" i="9"/>
  <c r="A22" i="9"/>
  <c r="A21" i="9"/>
  <c r="A20" i="9"/>
  <c r="A14" i="9"/>
  <c r="A9" i="9"/>
  <c r="A8" i="9"/>
  <c r="C22" i="10"/>
  <c r="C21" i="10"/>
  <c r="C19" i="10"/>
  <c r="A40" i="24"/>
  <c r="A30" i="24"/>
  <c r="A26" i="24"/>
  <c r="A25" i="24"/>
  <c r="A23" i="24"/>
  <c r="A15" i="24"/>
  <c r="A14" i="24"/>
  <c r="A12" i="24"/>
  <c r="A5" i="24"/>
  <c r="A2" i="24"/>
  <c r="A113" i="21"/>
  <c r="A86" i="21"/>
  <c r="A85" i="21"/>
  <c r="A81" i="21"/>
  <c r="A80" i="21"/>
  <c r="A79" i="21"/>
  <c r="A78" i="21"/>
  <c r="A75" i="21"/>
  <c r="A49" i="21"/>
  <c r="A48" i="21"/>
  <c r="A45" i="21"/>
  <c r="A44" i="21"/>
  <c r="A43" i="21"/>
  <c r="A42" i="21"/>
  <c r="A41" i="21"/>
  <c r="A38" i="21"/>
  <c r="A37" i="21"/>
  <c r="A36" i="21"/>
  <c r="A9" i="21"/>
  <c r="A8" i="21"/>
  <c r="A2" i="21"/>
  <c r="A64" i="2"/>
  <c r="A61" i="2"/>
  <c r="A59" i="2"/>
  <c r="A58" i="2"/>
  <c r="A53" i="2"/>
  <c r="A52" i="2"/>
  <c r="A51" i="2"/>
  <c r="A50" i="2"/>
  <c r="A48" i="2"/>
  <c r="A47" i="2"/>
  <c r="A46" i="2"/>
  <c r="A45" i="2"/>
  <c r="A44" i="2"/>
  <c r="A43" i="2"/>
  <c r="A39" i="2"/>
  <c r="A38" i="2"/>
  <c r="A37" i="2"/>
  <c r="A36" i="2"/>
  <c r="A33" i="2"/>
  <c r="A32" i="2"/>
  <c r="A31" i="2"/>
  <c r="A30" i="2"/>
  <c r="A29" i="2"/>
  <c r="A28" i="2"/>
  <c r="A27" i="2"/>
  <c r="A26" i="2"/>
  <c r="A25" i="2"/>
  <c r="A24" i="2"/>
  <c r="A22" i="2"/>
  <c r="A19" i="2"/>
  <c r="A18" i="2"/>
  <c r="A17" i="2"/>
  <c r="A15" i="2"/>
  <c r="A13" i="2"/>
  <c r="A11" i="2"/>
  <c r="A10" i="2"/>
  <c r="A8" i="2"/>
  <c r="A2" i="2"/>
  <c r="A131" i="1" l="1"/>
  <c r="A2" i="1"/>
  <c r="A158" i="3"/>
  <c r="A2" i="3"/>
  <c r="C34" i="10"/>
  <c r="C33" i="10"/>
  <c r="C32" i="10"/>
  <c r="C20" i="10"/>
  <c r="C18" i="10"/>
  <c r="C14" i="10"/>
  <c r="C13" i="10"/>
  <c r="C12" i="10"/>
  <c r="C10" i="10"/>
  <c r="C9" i="10"/>
  <c r="C8" i="10"/>
  <c r="C6" i="10"/>
  <c r="C5" i="10"/>
</calcChain>
</file>

<file path=xl/sharedStrings.xml><?xml version="1.0" encoding="utf-8"?>
<sst xmlns="http://schemas.openxmlformats.org/spreadsheetml/2006/main" count="31" uniqueCount="11">
  <si>
    <t>Language / Язык</t>
  </si>
  <si>
    <t>Русский</t>
  </si>
  <si>
    <t>English</t>
  </si>
  <si>
    <t xml:space="preserve"> </t>
  </si>
  <si>
    <t>EBITDA</t>
  </si>
  <si>
    <t>%</t>
  </si>
  <si>
    <t>1 кв</t>
  </si>
  <si>
    <t>2 кв</t>
  </si>
  <si>
    <t>3 кв</t>
  </si>
  <si>
    <t>4 кв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</si>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</sst>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\(#,##0\);\-"/>
    <numFmt numFmtId="165" formatCode="_-* ###0_-;\(###0\);_-* &quot;–&quot;_-;_-@_-"/>
    <numFmt numFmtId="166" formatCode="#,##0.00;\(#,##0.00\);\-"/>
    <numFmt numFmtId="167" formatCode="#,##0.0;\(#,##0.0\);\-"/>
    <numFmt numFmtId="168" formatCode="#,##0;\(#,##0\);0"/>
    <numFmt numFmtId="169" formatCode="#,##0.0;\(#,##0.0\);0.0"/>
    <numFmt numFmtId="170" formatCode="#,##0.00;\(#,##0.00\);0.00"/>
  </numFmts>
  <fonts count="6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6.5"/>
      <name val="Arial"/>
      <family val="2"/>
    </font>
    <font>
      <b/>
      <sz val="16"/>
      <color rgb="FFC00000"/>
      <name val="Arial"/>
      <family val="2"/>
      <charset val="204"/>
    </font>
    <font>
      <sz val="11"/>
      <color theme="1"/>
      <name val="Arial"/>
      <family val="2"/>
      <charset val="204"/>
    </font>
    <font>
      <sz val="16"/>
      <color rgb="FFC00000"/>
      <name val="Arial"/>
      <family val="2"/>
      <charset val="204"/>
    </font>
    <font>
      <b/>
      <sz val="12"/>
      <color rgb="FFC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C00000"/>
      <name val="Arial"/>
      <family val="2"/>
      <charset val="204"/>
    </font>
    <font>
      <b/>
      <sz val="1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name val="Arial Cyr"/>
      <charset val="204"/>
    </font>
    <font>
      <sz val="36"/>
      <name val="Arial Black"/>
      <family val="2"/>
      <charset val="204"/>
    </font>
    <font>
      <sz val="7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28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Calibri"/>
      <family val="2"/>
      <charset val="204"/>
      <scheme val="minor"/>
    </font>
    <font>
      <b/>
      <sz val="8"/>
      <color theme="0" tint="-0.499984740745262"/>
      <name val="Arial"/>
      <family val="2"/>
      <charset val="204"/>
    </font>
    <font>
      <b/>
      <sz val="8"/>
      <color theme="0" tint="-0.499984740745262"/>
      <name val="Calibri"/>
      <family val="2"/>
      <charset val="204"/>
      <scheme val="minor"/>
    </font>
    <font>
      <i/>
      <sz val="8"/>
      <color theme="0" tint="-0.499984740745262"/>
      <name val="Arial"/>
      <family val="2"/>
      <charset val="204"/>
    </font>
    <font>
      <u/>
      <sz val="12"/>
      <color theme="10"/>
      <name val="Arial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name val="Arial"/>
      <family val="2"/>
      <charset val="204"/>
    </font>
    <font>
      <b/>
      <sz val="8"/>
      <color rgb="FFC00000"/>
      <name val="Arial"/>
      <family val="2"/>
      <charset val="204"/>
    </font>
    <font>
      <i/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b/>
      <sz val="7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color rgb="FFFF0000"/>
      <name val="Arial"/>
      <family val="2"/>
      <charset val="204"/>
    </font>
    <font>
      <vertAlign val="superscript"/>
      <sz val="8"/>
      <color theme="1"/>
      <name val="Simplified Arabic Fixed"/>
      <family val="3"/>
    </font>
    <font>
      <sz val="10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CC3300"/>
      </top>
      <bottom style="thin">
        <color rgb="FFCC33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medium">
        <color rgb="FFCC3300"/>
      </bottom>
      <diagonal/>
    </border>
    <border>
      <left/>
      <right/>
      <top/>
      <bottom style="thin">
        <color rgb="FFCC3300"/>
      </bottom>
      <diagonal/>
    </border>
  </borders>
  <cellStyleXfs count="5">
    <xf numFmtId="0" fontId="0" fillId="0" borderId="0"/>
    <xf numFmtId="165" fontId="12" fillId="2" borderId="0">
      <alignment horizontal="right" vertical="center"/>
    </xf>
    <xf numFmtId="0" fontId="20" fillId="0" borderId="0" applyNumberFormat="0" applyFill="0" applyBorder="0" applyAlignment="0" applyProtection="0"/>
    <xf numFmtId="0" fontId="26" fillId="0" borderId="0"/>
    <xf numFmtId="0" fontId="26" fillId="0" borderId="0"/>
  </cellStyleXfs>
  <cellXfs count="553">
    <xf numFmtId="0" fontId="0" fillId="0" borderId="0" xfId="0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0" fontId="8" fillId="0" borderId="0" xfId="0" applyFont="1" applyFill="1" applyBorder="1"/>
    <xf numFmtId="0" fontId="13" fillId="0" borderId="0" xfId="0" applyFont="1" applyFill="1" applyBorder="1" applyAlignment="1">
      <alignment horizontal="left" indent="16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3"/>
    </xf>
    <xf numFmtId="3" fontId="8" fillId="0" borderId="0" xfId="0" applyNumberFormat="1" applyFont="1" applyFill="1" applyBorder="1"/>
    <xf numFmtId="164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Fill="1" applyBorder="1"/>
    <xf numFmtId="3" fontId="11" fillId="0" borderId="0" xfId="0" applyNumberFormat="1" applyFont="1" applyFill="1" applyBorder="1"/>
    <xf numFmtId="0" fontId="8" fillId="0" borderId="0" xfId="0" applyFont="1" applyAlignment="1">
      <alignment horizontal="right"/>
    </xf>
    <xf numFmtId="0" fontId="14" fillId="0" borderId="0" xfId="0" applyFont="1"/>
    <xf numFmtId="0" fontId="13" fillId="0" borderId="0" xfId="0" applyFo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3" fontId="11" fillId="0" borderId="0" xfId="0" applyNumberFormat="1" applyFont="1"/>
    <xf numFmtId="0" fontId="15" fillId="0" borderId="0" xfId="0" applyFont="1"/>
    <xf numFmtId="0" fontId="7" fillId="0" borderId="7" xfId="0" applyFont="1" applyBorder="1"/>
    <xf numFmtId="0" fontId="7" fillId="0" borderId="7" xfId="0" applyFont="1" applyFill="1" applyBorder="1"/>
    <xf numFmtId="0" fontId="13" fillId="0" borderId="0" xfId="0" applyFont="1" applyFill="1" applyBorder="1"/>
    <xf numFmtId="0" fontId="0" fillId="0" borderId="7" xfId="0" applyFill="1" applyBorder="1"/>
    <xf numFmtId="0" fontId="15" fillId="0" borderId="0" xfId="0" applyFont="1" applyFill="1" applyBorder="1"/>
    <xf numFmtId="0" fontId="14" fillId="0" borderId="7" xfId="0" applyFont="1" applyBorder="1"/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indent="4"/>
    </xf>
    <xf numFmtId="0" fontId="14" fillId="0" borderId="0" xfId="0" applyFont="1" applyFill="1" applyBorder="1"/>
    <xf numFmtId="0" fontId="8" fillId="0" borderId="0" xfId="0" applyFont="1" applyFill="1" applyBorder="1" applyAlignment="1">
      <alignment horizontal="left" indent="2"/>
    </xf>
    <xf numFmtId="4" fontId="10" fillId="0" borderId="0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3" fillId="0" borderId="0" xfId="0" applyFont="1" applyAlignment="1">
      <alignment vertical="center"/>
    </xf>
    <xf numFmtId="3" fontId="14" fillId="0" borderId="0" xfId="0" applyNumberFormat="1" applyFont="1"/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Alignment="1"/>
    <xf numFmtId="0" fontId="2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0" fontId="23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1" fillId="0" borderId="0" xfId="2" applyFont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27" fillId="4" borderId="11" xfId="3" applyFont="1" applyFill="1" applyBorder="1" applyAlignment="1">
      <alignment horizontal="left" vertical="center"/>
    </xf>
    <xf numFmtId="0" fontId="7" fillId="0" borderId="11" xfId="0" applyFont="1" applyFill="1" applyBorder="1"/>
    <xf numFmtId="0" fontId="23" fillId="0" borderId="0" xfId="0" applyFont="1" applyFill="1" applyBorder="1" applyAlignment="1">
      <alignment horizontal="left" indent="16"/>
    </xf>
    <xf numFmtId="0" fontId="14" fillId="0" borderId="7" xfId="0" applyFont="1" applyFill="1" applyBorder="1"/>
    <xf numFmtId="0" fontId="25" fillId="0" borderId="0" xfId="0" applyFont="1" applyFill="1" applyBorder="1" applyAlignment="1">
      <alignment horizontal="left" vertical="center"/>
    </xf>
    <xf numFmtId="0" fontId="22" fillId="0" borderId="0" xfId="0" applyFont="1"/>
    <xf numFmtId="0" fontId="28" fillId="0" borderId="0" xfId="0" applyFont="1" applyFill="1" applyBorder="1" applyAlignment="1">
      <alignment horizontal="left" indent="1"/>
    </xf>
    <xf numFmtId="0" fontId="17" fillId="0" borderId="0" xfId="0" applyFont="1" applyAlignment="1"/>
    <xf numFmtId="0" fontId="29" fillId="4" borderId="11" xfId="3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indent="1"/>
    </xf>
    <xf numFmtId="0" fontId="30" fillId="4" borderId="11" xfId="3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left"/>
    </xf>
    <xf numFmtId="0" fontId="31" fillId="0" borderId="11" xfId="0" applyFont="1" applyBorder="1" applyAlignment="1">
      <alignment horizontal="left" indent="1"/>
    </xf>
    <xf numFmtId="0" fontId="32" fillId="4" borderId="11" xfId="3" applyFont="1" applyFill="1" applyBorder="1" applyAlignment="1">
      <alignment horizontal="left" vertical="center"/>
    </xf>
    <xf numFmtId="0" fontId="7" fillId="3" borderId="2" xfId="0" applyFont="1" applyFill="1" applyBorder="1"/>
    <xf numFmtId="0" fontId="7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34" fillId="0" borderId="0" xfId="0" applyFont="1" applyAlignment="1">
      <alignment vertical="center"/>
    </xf>
    <xf numFmtId="0" fontId="34" fillId="0" borderId="0" xfId="0" applyFont="1" applyFill="1" applyBorder="1" applyAlignment="1">
      <alignment vertical="center"/>
    </xf>
    <xf numFmtId="3" fontId="7" fillId="0" borderId="0" xfId="0" applyNumberFormat="1" applyFont="1"/>
    <xf numFmtId="0" fontId="34" fillId="0" borderId="0" xfId="0" applyFont="1" applyAlignment="1">
      <alignment horizontal="left" vertical="center" indent="1"/>
    </xf>
    <xf numFmtId="0" fontId="34" fillId="0" borderId="0" xfId="0" applyFont="1" applyFill="1" applyBorder="1" applyAlignment="1">
      <alignment horizontal="left" vertical="center" indent="1"/>
    </xf>
    <xf numFmtId="0" fontId="34" fillId="0" borderId="0" xfId="0" applyFont="1" applyAlignment="1">
      <alignment horizontal="left" vertical="center" indent="3"/>
    </xf>
    <xf numFmtId="0" fontId="34" fillId="0" borderId="0" xfId="0" applyFont="1" applyFill="1" applyBorder="1" applyAlignment="1">
      <alignment horizontal="left" vertical="center" indent="3"/>
    </xf>
    <xf numFmtId="164" fontId="7" fillId="0" borderId="0" xfId="0" applyNumberFormat="1" applyFont="1"/>
    <xf numFmtId="164" fontId="7" fillId="0" borderId="0" xfId="0" applyNumberFormat="1" applyFont="1" applyFill="1" applyBorder="1"/>
    <xf numFmtId="0" fontId="34" fillId="0" borderId="0" xfId="0" applyFont="1" applyBorder="1" applyAlignment="1">
      <alignment horizontal="left" vertical="center" indent="3"/>
    </xf>
    <xf numFmtId="164" fontId="7" fillId="0" borderId="0" xfId="0" applyNumberFormat="1" applyFont="1" applyBorder="1"/>
    <xf numFmtId="0" fontId="34" fillId="0" borderId="1" xfId="0" applyFont="1" applyBorder="1" applyAlignment="1">
      <alignment horizontal="left" vertical="center" indent="1"/>
    </xf>
    <xf numFmtId="0" fontId="34" fillId="0" borderId="2" xfId="0" applyFont="1" applyBorder="1" applyAlignment="1">
      <alignment horizontal="left" vertical="center" indent="1"/>
    </xf>
    <xf numFmtId="164" fontId="36" fillId="0" borderId="0" xfId="0" applyNumberFormat="1" applyFont="1" applyFill="1" applyBorder="1" applyAlignment="1">
      <alignment vertical="center"/>
    </xf>
    <xf numFmtId="164" fontId="33" fillId="0" borderId="0" xfId="0" applyNumberFormat="1" applyFont="1"/>
    <xf numFmtId="0" fontId="34" fillId="0" borderId="3" xfId="0" applyFont="1" applyBorder="1" applyAlignment="1">
      <alignment horizontal="left" vertical="center" indent="3"/>
    </xf>
    <xf numFmtId="0" fontId="34" fillId="0" borderId="0" xfId="0" applyFont="1" applyBorder="1" applyAlignment="1">
      <alignment horizontal="left" vertical="center" indent="1"/>
    </xf>
    <xf numFmtId="0" fontId="34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 indent="4"/>
    </xf>
    <xf numFmtId="0" fontId="33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indent="2"/>
    </xf>
    <xf numFmtId="0" fontId="37" fillId="0" borderId="0" xfId="0" applyFont="1" applyBorder="1" applyAlignment="1">
      <alignment horizontal="left" vertical="center" indent="2"/>
    </xf>
    <xf numFmtId="0" fontId="37" fillId="0" borderId="0" xfId="0" applyFont="1" applyFill="1" applyBorder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38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5" xfId="0" applyFont="1" applyBorder="1" applyAlignment="1">
      <alignment horizontal="left" vertical="center" indent="1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indent="1"/>
    </xf>
    <xf numFmtId="0" fontId="33" fillId="0" borderId="0" xfId="0" applyFont="1"/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3" borderId="2" xfId="0" applyFont="1" applyFill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36" fillId="0" borderId="2" xfId="0" applyFont="1" applyBorder="1" applyAlignment="1">
      <alignment horizontal="left" vertical="center" indent="1"/>
    </xf>
    <xf numFmtId="0" fontId="36" fillId="3" borderId="3" xfId="0" applyFont="1" applyFill="1" applyBorder="1" applyAlignment="1">
      <alignment vertical="center"/>
    </xf>
    <xf numFmtId="0" fontId="36" fillId="3" borderId="4" xfId="0" applyFont="1" applyFill="1" applyBorder="1" applyAlignment="1">
      <alignment vertical="center"/>
    </xf>
    <xf numFmtId="164" fontId="33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4"/>
    </xf>
    <xf numFmtId="0" fontId="34" fillId="0" borderId="0" xfId="0" applyFont="1" applyFill="1" applyBorder="1" applyAlignment="1">
      <alignment horizontal="left" vertical="center" indent="4"/>
    </xf>
    <xf numFmtId="0" fontId="36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 indent="4"/>
    </xf>
    <xf numFmtId="0" fontId="34" fillId="0" borderId="6" xfId="0" applyFont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indent="4"/>
    </xf>
    <xf numFmtId="164" fontId="7" fillId="0" borderId="6" xfId="0" applyNumberFormat="1" applyFont="1" applyBorder="1"/>
    <xf numFmtId="0" fontId="24" fillId="0" borderId="0" xfId="0" applyFont="1" applyAlignment="1"/>
    <xf numFmtId="0" fontId="34" fillId="0" borderId="0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horizontal="left" vertical="center" indent="2"/>
    </xf>
    <xf numFmtId="0" fontId="33" fillId="3" borderId="2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3" borderId="4" xfId="0" applyFont="1" applyFill="1" applyBorder="1" applyAlignment="1">
      <alignment horizontal="left" vertical="center"/>
    </xf>
    <xf numFmtId="0" fontId="7" fillId="0" borderId="0" xfId="0" applyFont="1" applyBorder="1"/>
    <xf numFmtId="0" fontId="3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33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0" xfId="0" applyFont="1" applyFill="1" applyBorder="1"/>
    <xf numFmtId="0" fontId="7" fillId="0" borderId="0" xfId="0" applyFont="1" applyFill="1" applyBorder="1" applyAlignment="1">
      <alignment horizontal="left" vertical="center" indent="3"/>
    </xf>
    <xf numFmtId="0" fontId="33" fillId="0" borderId="0" xfId="0" applyFont="1" applyAlignment="1">
      <alignment vertical="center"/>
    </xf>
    <xf numFmtId="1" fontId="33" fillId="3" borderId="2" xfId="0" applyNumberFormat="1" applyFont="1" applyFill="1" applyBorder="1" applyAlignment="1">
      <alignment horizontal="right"/>
    </xf>
    <xf numFmtId="164" fontId="33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indent="2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left" vertical="center"/>
    </xf>
    <xf numFmtId="0" fontId="30" fillId="5" borderId="0" xfId="4" applyFont="1" applyFill="1" applyBorder="1" applyAlignment="1">
      <alignment horizontal="left" indent="2"/>
    </xf>
    <xf numFmtId="0" fontId="7" fillId="3" borderId="2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left" indent="3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indent="5"/>
    </xf>
    <xf numFmtId="0" fontId="39" fillId="0" borderId="0" xfId="0" applyFont="1"/>
    <xf numFmtId="0" fontId="39" fillId="0" borderId="0" xfId="0" applyFont="1" applyAlignment="1">
      <alignment horizontal="left" vertical="center" indent="5"/>
    </xf>
    <xf numFmtId="0" fontId="40" fillId="0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left" vertical="center" indent="5"/>
    </xf>
    <xf numFmtId="0" fontId="39" fillId="0" borderId="0" xfId="0" applyFont="1" applyAlignment="1">
      <alignment horizontal="left" indent="5"/>
    </xf>
    <xf numFmtId="0" fontId="42" fillId="0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left" vertical="center" indent="4"/>
    </xf>
    <xf numFmtId="0" fontId="39" fillId="0" borderId="0" xfId="0" applyFont="1" applyFill="1" applyBorder="1" applyAlignment="1">
      <alignment horizontal="left" vertical="center" indent="1"/>
    </xf>
    <xf numFmtId="0" fontId="39" fillId="0" borderId="0" xfId="0" applyFont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Fill="1" applyBorder="1" applyAlignment="1">
      <alignment horizontal="left" vertical="center" indent="1"/>
    </xf>
    <xf numFmtId="0" fontId="39" fillId="0" borderId="0" xfId="0" applyFont="1" applyFill="1" applyBorder="1" applyAlignment="1">
      <alignment horizontal="left" vertical="center" indent="5"/>
    </xf>
    <xf numFmtId="0" fontId="39" fillId="0" borderId="0" xfId="0" applyFont="1" applyAlignment="1">
      <alignment horizontal="left" vertical="center" indent="2"/>
    </xf>
    <xf numFmtId="0" fontId="39" fillId="0" borderId="0" xfId="0" applyFont="1" applyAlignment="1">
      <alignment horizontal="right" vertical="center"/>
    </xf>
    <xf numFmtId="0" fontId="39" fillId="0" borderId="0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indent="5"/>
    </xf>
    <xf numFmtId="0" fontId="41" fillId="0" borderId="0" xfId="0" applyFont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41" fillId="0" borderId="3" xfId="0" applyFont="1" applyBorder="1" applyAlignment="1">
      <alignment horizontal="left" vertical="center" indent="3"/>
    </xf>
    <xf numFmtId="0" fontId="41" fillId="0" borderId="0" xfId="0" applyFont="1" applyBorder="1" applyAlignment="1">
      <alignment vertical="center"/>
    </xf>
    <xf numFmtId="0" fontId="41" fillId="0" borderId="3" xfId="0" applyFont="1" applyBorder="1" applyAlignment="1">
      <alignment horizontal="left" vertical="center" indent="4"/>
    </xf>
    <xf numFmtId="0" fontId="36" fillId="0" borderId="0" xfId="0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36" fillId="0" borderId="0" xfId="0" applyNumberFormat="1" applyFont="1" applyFill="1" applyBorder="1" applyAlignment="1">
      <alignment horizontal="right" vertical="center"/>
    </xf>
    <xf numFmtId="164" fontId="33" fillId="0" borderId="0" xfId="0" applyNumberFormat="1" applyFont="1" applyBorder="1" applyAlignment="1">
      <alignment horizontal="right" vertical="center"/>
    </xf>
    <xf numFmtId="164" fontId="34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6" fillId="0" borderId="0" xfId="0" applyFont="1" applyBorder="1" applyAlignment="1">
      <alignment horizontal="left" vertical="center" indent="2"/>
    </xf>
    <xf numFmtId="0" fontId="36" fillId="0" borderId="6" xfId="0" applyFont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/>
    <xf numFmtId="164" fontId="13" fillId="0" borderId="0" xfId="0" applyNumberFormat="1" applyFont="1"/>
    <xf numFmtId="164" fontId="8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/>
    <xf numFmtId="164" fontId="8" fillId="0" borderId="0" xfId="0" applyNumberFormat="1" applyFont="1" applyAlignment="1">
      <alignment horizontal="right"/>
    </xf>
    <xf numFmtId="0" fontId="17" fillId="0" borderId="0" xfId="0" applyFont="1"/>
    <xf numFmtId="164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0" fontId="7" fillId="0" borderId="0" xfId="0" applyFont="1"/>
    <xf numFmtId="0" fontId="33" fillId="3" borderId="2" xfId="0" applyFont="1" applyFill="1" applyBorder="1" applyAlignment="1">
      <alignment vertical="center"/>
    </xf>
    <xf numFmtId="166" fontId="34" fillId="0" borderId="0" xfId="0" applyNumberFormat="1" applyFont="1" applyFill="1" applyBorder="1" applyAlignment="1">
      <alignment vertical="center"/>
    </xf>
    <xf numFmtId="0" fontId="44" fillId="0" borderId="0" xfId="2" applyFont="1" applyAlignment="1"/>
    <xf numFmtId="0" fontId="45" fillId="0" borderId="0" xfId="0" applyFont="1"/>
    <xf numFmtId="164" fontId="46" fillId="0" borderId="0" xfId="0" applyNumberFormat="1" applyFont="1" applyFill="1"/>
    <xf numFmtId="0" fontId="47" fillId="0" borderId="0" xfId="0" applyFont="1" applyBorder="1" applyAlignment="1">
      <alignment horizontal="left" vertical="center" indent="5"/>
    </xf>
    <xf numFmtId="0" fontId="7" fillId="0" borderId="0" xfId="0" applyFont="1" applyFill="1" applyBorder="1" applyAlignment="1">
      <alignment horizontal="left" vertical="center" indent="5"/>
    </xf>
    <xf numFmtId="0" fontId="5" fillId="3" borderId="2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3"/>
    </xf>
    <xf numFmtId="166" fontId="34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indent="3"/>
    </xf>
    <xf numFmtId="164" fontId="3" fillId="0" borderId="0" xfId="0" applyNumberFormat="1" applyFont="1"/>
    <xf numFmtId="0" fontId="14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/>
    <xf numFmtId="0" fontId="0" fillId="0" borderId="0" xfId="0" applyFill="1"/>
    <xf numFmtId="0" fontId="39" fillId="0" borderId="0" xfId="0" applyFont="1" applyFill="1"/>
    <xf numFmtId="0" fontId="39" fillId="0" borderId="0" xfId="0" applyFont="1" applyFill="1" applyAlignment="1">
      <alignment horizontal="left" vertical="center" indent="2"/>
    </xf>
    <xf numFmtId="0" fontId="39" fillId="0" borderId="0" xfId="0" applyFont="1" applyFill="1" applyAlignment="1">
      <alignment horizontal="right" vertical="center"/>
    </xf>
    <xf numFmtId="0" fontId="33" fillId="0" borderId="0" xfId="0" applyFont="1" applyFill="1"/>
    <xf numFmtId="0" fontId="2" fillId="0" borderId="0" xfId="0" applyFont="1" applyFill="1" applyBorder="1" applyAlignment="1">
      <alignment horizontal="left" vertical="center" indent="4"/>
    </xf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right" vertical="center"/>
    </xf>
    <xf numFmtId="0" fontId="15" fillId="0" borderId="0" xfId="0" applyFont="1" applyFill="1"/>
    <xf numFmtId="0" fontId="8" fillId="0" borderId="0" xfId="0" applyFont="1" applyFill="1" applyAlignment="1">
      <alignment horizontal="right"/>
    </xf>
    <xf numFmtId="0" fontId="33" fillId="0" borderId="3" xfId="0" applyFont="1" applyFill="1" applyBorder="1" applyAlignment="1">
      <alignment horizontal="left" vertical="center" indent="1"/>
    </xf>
    <xf numFmtId="164" fontId="14" fillId="0" borderId="0" xfId="0" applyNumberFormat="1" applyFont="1" applyFill="1"/>
    <xf numFmtId="164" fontId="13" fillId="0" borderId="0" xfId="0" applyNumberFormat="1" applyFon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vertical="center"/>
    </xf>
    <xf numFmtId="0" fontId="33" fillId="0" borderId="2" xfId="0" applyFont="1" applyFill="1" applyBorder="1" applyAlignment="1">
      <alignment horizontal="left" vertical="center" indent="1"/>
    </xf>
    <xf numFmtId="0" fontId="33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1" fillId="0" borderId="0" xfId="2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shrinkToFit="1"/>
    </xf>
    <xf numFmtId="164" fontId="10" fillId="0" borderId="0" xfId="0" applyNumberFormat="1" applyFont="1" applyFill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horizontal="center" vertical="center" shrinkToFit="1"/>
    </xf>
    <xf numFmtId="164" fontId="9" fillId="0" borderId="3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shrinkToFit="1"/>
    </xf>
    <xf numFmtId="164" fontId="8" fillId="0" borderId="0" xfId="0" applyNumberFormat="1" applyFont="1" applyFill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 shrinkToFit="1"/>
    </xf>
    <xf numFmtId="164" fontId="53" fillId="0" borderId="3" xfId="0" applyNumberFormat="1" applyFont="1" applyFill="1" applyBorder="1" applyAlignment="1">
      <alignment horizontal="center" vertical="center" shrinkToFit="1"/>
    </xf>
    <xf numFmtId="0" fontId="49" fillId="0" borderId="0" xfId="0" applyFont="1" applyAlignment="1">
      <alignment horizontal="left" vertical="center" indent="2"/>
    </xf>
    <xf numFmtId="0" fontId="49" fillId="0" borderId="7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4" fillId="0" borderId="0" xfId="2" applyFont="1" applyAlignment="1"/>
    <xf numFmtId="0" fontId="49" fillId="0" borderId="0" xfId="0" applyFont="1" applyAlignment="1">
      <alignment horizontal="center" vertical="center" shrinkToFit="1"/>
    </xf>
    <xf numFmtId="0" fontId="49" fillId="0" borderId="7" xfId="0" applyFont="1" applyBorder="1" applyAlignment="1">
      <alignment horizontal="center" vertical="center" shrinkToFit="1"/>
    </xf>
    <xf numFmtId="164" fontId="8" fillId="0" borderId="0" xfId="0" applyNumberFormat="1" applyFont="1" applyAlignment="1">
      <alignment horizontal="center" vertical="center" shrinkToFit="1"/>
    </xf>
    <xf numFmtId="164" fontId="11" fillId="0" borderId="0" xfId="0" applyNumberFormat="1" applyFont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54" fillId="0" borderId="0" xfId="2" applyFont="1" applyAlignment="1">
      <alignment horizontal="center" vertical="center" shrinkToFit="1"/>
    </xf>
    <xf numFmtId="0" fontId="11" fillId="3" borderId="2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11" fillId="3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right"/>
    </xf>
    <xf numFmtId="164" fontId="11" fillId="0" borderId="3" xfId="0" applyNumberFormat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33" fillId="3" borderId="2" xfId="0" applyFont="1" applyFill="1" applyBorder="1" applyAlignment="1">
      <alignment horizontal="right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55" fillId="0" borderId="0" xfId="0" applyFont="1" applyBorder="1" applyAlignment="1">
      <alignment horizontal="left" vertical="center" indent="5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 indent="1"/>
    </xf>
    <xf numFmtId="0" fontId="33" fillId="0" borderId="0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1" fontId="33" fillId="3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" fontId="33" fillId="0" borderId="0" xfId="0" applyNumberFormat="1" applyFont="1" applyFill="1" applyBorder="1" applyAlignment="1">
      <alignment horizontal="right" vertical="center"/>
    </xf>
    <xf numFmtId="0" fontId="33" fillId="3" borderId="2" xfId="0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right" vertical="center"/>
    </xf>
    <xf numFmtId="14" fontId="33" fillId="3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4" fontId="7" fillId="3" borderId="2" xfId="0" applyNumberFormat="1" applyFont="1" applyFill="1" applyBorder="1" applyAlignment="1">
      <alignment horizontal="right" vertical="center"/>
    </xf>
    <xf numFmtId="14" fontId="33" fillId="0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indent="7"/>
    </xf>
    <xf numFmtId="164" fontId="1" fillId="0" borderId="0" xfId="0" applyNumberFormat="1" applyFont="1" applyFill="1" applyBorder="1" applyAlignment="1">
      <alignment horizontal="right" vertical="center"/>
    </xf>
    <xf numFmtId="164" fontId="56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center" indent="4"/>
    </xf>
    <xf numFmtId="0" fontId="57" fillId="0" borderId="0" xfId="0" applyFont="1"/>
    <xf numFmtId="0" fontId="58" fillId="0" borderId="0" xfId="0" applyFont="1"/>
    <xf numFmtId="0" fontId="37" fillId="0" borderId="0" xfId="0" applyFont="1" applyFill="1" applyBorder="1" applyAlignment="1">
      <alignment horizontal="left" vertical="center" indent="2"/>
    </xf>
    <xf numFmtId="0" fontId="36" fillId="0" borderId="2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center"/>
    </xf>
    <xf numFmtId="0" fontId="39" fillId="0" borderId="0" xfId="0" applyFont="1" applyFill="1" applyAlignment="1">
      <alignment horizontal="left" vertical="center" indent="5"/>
    </xf>
    <xf numFmtId="0" fontId="36" fillId="0" borderId="2" xfId="0" applyFont="1" applyFill="1" applyBorder="1" applyAlignment="1">
      <alignment horizontal="left" vertical="center" indent="1"/>
    </xf>
    <xf numFmtId="0" fontId="34" fillId="0" borderId="0" xfId="0" applyFont="1" applyFill="1" applyAlignment="1">
      <alignment horizontal="left" vertical="center" indent="3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3" fontId="14" fillId="0" borderId="0" xfId="0" applyNumberFormat="1" applyFont="1" applyFill="1"/>
    <xf numFmtId="1" fontId="33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0" fontId="1" fillId="0" borderId="0" xfId="0" applyFont="1" applyFill="1" applyBorder="1" applyAlignment="1">
      <alignment horizontal="left" vertical="center" indent="4"/>
    </xf>
    <xf numFmtId="0" fontId="39" fillId="0" borderId="0" xfId="0" applyFont="1" applyBorder="1" applyAlignment="1">
      <alignment horizontal="left" vertical="center" indent="6"/>
    </xf>
    <xf numFmtId="0" fontId="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 indent="6"/>
    </xf>
    <xf numFmtId="0" fontId="39" fillId="0" borderId="0" xfId="0" applyFont="1" applyFill="1" applyAlignment="1">
      <alignment horizontal="left" vertical="center" indent="6"/>
    </xf>
    <xf numFmtId="0" fontId="57" fillId="0" borderId="0" xfId="0" applyFont="1" applyBorder="1" applyAlignment="1">
      <alignment horizontal="left" vertical="center" indent="5"/>
    </xf>
    <xf numFmtId="0" fontId="34" fillId="0" borderId="0" xfId="0" applyFont="1" applyBorder="1" applyAlignment="1">
      <alignment horizontal="left" vertical="center"/>
    </xf>
    <xf numFmtId="0" fontId="1" fillId="0" borderId="0" xfId="0" applyFont="1"/>
    <xf numFmtId="0" fontId="36" fillId="0" borderId="3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indent="4"/>
    </xf>
    <xf numFmtId="164" fontId="11" fillId="0" borderId="0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indent="4"/>
    </xf>
    <xf numFmtId="164" fontId="33" fillId="0" borderId="0" xfId="0" applyNumberFormat="1" applyFont="1" applyFill="1" applyBorder="1"/>
    <xf numFmtId="0" fontId="35" fillId="0" borderId="0" xfId="0" applyFont="1" applyFill="1" applyBorder="1" applyAlignment="1">
      <alignment horizontal="left" vertical="center" indent="4"/>
    </xf>
    <xf numFmtId="0" fontId="34" fillId="0" borderId="15" xfId="0" applyFont="1" applyFill="1" applyBorder="1" applyAlignment="1">
      <alignment horizontal="left" vertical="center" indent="3"/>
    </xf>
    <xf numFmtId="0" fontId="34" fillId="0" borderId="3" xfId="0" applyFont="1" applyFill="1" applyBorder="1" applyAlignment="1">
      <alignment horizontal="left" vertical="center" indent="3"/>
    </xf>
    <xf numFmtId="0" fontId="36" fillId="0" borderId="6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3"/>
    </xf>
    <xf numFmtId="164" fontId="1" fillId="0" borderId="0" xfId="0" applyNumberFormat="1" applyFont="1" applyFill="1" applyBorder="1" applyAlignment="1">
      <alignment vertical="center"/>
    </xf>
    <xf numFmtId="3" fontId="33" fillId="0" borderId="0" xfId="0" applyNumberFormat="1" applyFont="1"/>
    <xf numFmtId="0" fontId="33" fillId="0" borderId="3" xfId="0" applyFont="1" applyBorder="1" applyAlignment="1">
      <alignment horizontal="left" indent="1"/>
    </xf>
    <xf numFmtId="0" fontId="1" fillId="0" borderId="0" xfId="0" applyFont="1" applyFill="1" applyAlignment="1">
      <alignment horizontal="left" indent="3"/>
    </xf>
    <xf numFmtId="0" fontId="33" fillId="0" borderId="0" xfId="0" applyFont="1" applyFill="1" applyAlignment="1">
      <alignment horizontal="left" indent="1"/>
    </xf>
    <xf numFmtId="0" fontId="33" fillId="0" borderId="3" xfId="0" applyFont="1" applyFill="1" applyBorder="1" applyAlignment="1">
      <alignment vertical="center"/>
    </xf>
    <xf numFmtId="0" fontId="33" fillId="0" borderId="0" xfId="0" applyFont="1" applyBorder="1" applyAlignment="1">
      <alignment horizontal="left" inden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33" fillId="0" borderId="3" xfId="0" applyFont="1" applyFill="1" applyBorder="1"/>
    <xf numFmtId="0" fontId="36" fillId="0" borderId="0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164" fontId="10" fillId="0" borderId="15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/>
    </xf>
    <xf numFmtId="0" fontId="17" fillId="0" borderId="15" xfId="0" applyFont="1" applyBorder="1"/>
    <xf numFmtId="0" fontId="14" fillId="0" borderId="15" xfId="0" applyFont="1" applyBorder="1"/>
    <xf numFmtId="0" fontId="36" fillId="0" borderId="15" xfId="0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59" fillId="0" borderId="0" xfId="0" applyFont="1" applyBorder="1"/>
    <xf numFmtId="166" fontId="1" fillId="0" borderId="0" xfId="0" applyNumberFormat="1" applyFont="1" applyFill="1" applyBorder="1" applyAlignment="1">
      <alignment horizontal="right" vertical="center"/>
    </xf>
    <xf numFmtId="167" fontId="7" fillId="0" borderId="6" xfId="0" applyNumberFormat="1" applyFont="1" applyBorder="1"/>
    <xf numFmtId="167" fontId="7" fillId="0" borderId="6" xfId="0" applyNumberFormat="1" applyFont="1" applyFill="1" applyBorder="1"/>
    <xf numFmtId="167" fontId="7" fillId="0" borderId="0" xfId="0" applyNumberFormat="1" applyFont="1" applyFill="1" applyBorder="1"/>
    <xf numFmtId="0" fontId="39" fillId="0" borderId="0" xfId="0" applyFont="1" applyBorder="1" applyAlignment="1">
      <alignment horizontal="left" vertical="center" indent="3"/>
    </xf>
    <xf numFmtId="0" fontId="17" fillId="0" borderId="0" xfId="0" applyFont="1" applyBorder="1"/>
    <xf numFmtId="0" fontId="8" fillId="0" borderId="0" xfId="0" applyFont="1" applyBorder="1" applyAlignment="1">
      <alignment horizontal="center" vertical="center"/>
    </xf>
    <xf numFmtId="0" fontId="33" fillId="0" borderId="0" xfId="0" applyFont="1" applyBorder="1"/>
    <xf numFmtId="3" fontId="7" fillId="0" borderId="0" xfId="0" applyNumberFormat="1" applyFont="1" applyBorder="1"/>
    <xf numFmtId="0" fontId="37" fillId="0" borderId="0" xfId="0" applyFont="1"/>
    <xf numFmtId="3" fontId="37" fillId="0" borderId="0" xfId="0" applyNumberFormat="1" applyFont="1"/>
    <xf numFmtId="0" fontId="3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6"/>
    </xf>
    <xf numFmtId="0" fontId="36" fillId="0" borderId="6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7" xfId="0" applyFont="1" applyFill="1" applyBorder="1" applyAlignment="1">
      <alignment vertical="center"/>
    </xf>
    <xf numFmtId="168" fontId="7" fillId="0" borderId="0" xfId="0" applyNumberFormat="1" applyFont="1" applyFill="1" applyBorder="1" applyAlignment="1"/>
    <xf numFmtId="168" fontId="7" fillId="0" borderId="0" xfId="0" applyNumberFormat="1" applyFont="1" applyBorder="1" applyAlignment="1">
      <alignment horizontal="right" vertical="center"/>
    </xf>
    <xf numFmtId="168" fontId="7" fillId="0" borderId="0" xfId="0" applyNumberFormat="1" applyFont="1" applyFill="1" applyBorder="1" applyAlignment="1">
      <alignment horizontal="right" vertical="center"/>
    </xf>
    <xf numFmtId="168" fontId="39" fillId="0" borderId="0" xfId="0" applyNumberFormat="1" applyFont="1" applyAlignment="1">
      <alignment horizontal="right" vertical="center"/>
    </xf>
    <xf numFmtId="168" fontId="33" fillId="0" borderId="2" xfId="0" applyNumberFormat="1" applyFont="1" applyBorder="1" applyAlignment="1">
      <alignment horizontal="right" vertical="center"/>
    </xf>
    <xf numFmtId="168" fontId="57" fillId="0" borderId="0" xfId="0" applyNumberFormat="1" applyFont="1" applyBorder="1" applyAlignment="1">
      <alignment horizontal="right" vertical="center"/>
    </xf>
    <xf numFmtId="168" fontId="33" fillId="0" borderId="6" xfId="0" applyNumberFormat="1" applyFont="1" applyBorder="1" applyAlignment="1">
      <alignment horizontal="right" vertical="center"/>
    </xf>
    <xf numFmtId="168" fontId="7" fillId="0" borderId="3" xfId="0" applyNumberFormat="1" applyFont="1" applyBorder="1" applyAlignment="1">
      <alignment horizontal="right" vertical="center"/>
    </xf>
    <xf numFmtId="168" fontId="33" fillId="3" borderId="4" xfId="0" applyNumberFormat="1" applyFont="1" applyFill="1" applyBorder="1" applyAlignment="1">
      <alignment horizontal="right" vertical="center"/>
    </xf>
    <xf numFmtId="168" fontId="57" fillId="0" borderId="0" xfId="0" applyNumberFormat="1" applyFont="1" applyFill="1" applyBorder="1" applyAlignment="1">
      <alignment horizontal="right" vertical="center"/>
    </xf>
    <xf numFmtId="168" fontId="33" fillId="0" borderId="0" xfId="0" applyNumberFormat="1" applyFont="1" applyFill="1" applyBorder="1" applyAlignment="1">
      <alignment horizontal="right" vertical="center"/>
    </xf>
    <xf numFmtId="168" fontId="39" fillId="0" borderId="0" xfId="0" applyNumberFormat="1" applyFont="1" applyBorder="1" applyAlignment="1">
      <alignment horizontal="right" vertical="center"/>
    </xf>
    <xf numFmtId="168" fontId="39" fillId="0" borderId="0" xfId="0" applyNumberFormat="1" applyFont="1" applyFill="1" applyBorder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168" fontId="7" fillId="0" borderId="0" xfId="0" applyNumberFormat="1" applyFont="1" applyFill="1" applyAlignment="1">
      <alignment horizontal="right" vertical="center"/>
    </xf>
    <xf numFmtId="168" fontId="39" fillId="0" borderId="0" xfId="0" applyNumberFormat="1" applyFont="1" applyFill="1" applyAlignment="1">
      <alignment horizontal="right" vertical="center"/>
    </xf>
    <xf numFmtId="168" fontId="33" fillId="3" borderId="3" xfId="0" applyNumberFormat="1" applyFont="1" applyFill="1" applyBorder="1" applyAlignment="1">
      <alignment horizontal="right" vertical="center"/>
    </xf>
    <xf numFmtId="168" fontId="33" fillId="0" borderId="3" xfId="0" applyNumberFormat="1" applyFont="1" applyFill="1" applyBorder="1" applyAlignment="1">
      <alignment vertical="center"/>
    </xf>
    <xf numFmtId="168" fontId="33" fillId="0" borderId="0" xfId="0" applyNumberFormat="1" applyFont="1" applyFill="1" applyBorder="1" applyAlignment="1">
      <alignment vertical="center"/>
    </xf>
    <xf numFmtId="168" fontId="36" fillId="0" borderId="3" xfId="0" applyNumberFormat="1" applyFont="1" applyFill="1" applyBorder="1" applyAlignment="1">
      <alignment vertical="center"/>
    </xf>
    <xf numFmtId="168" fontId="36" fillId="0" borderId="0" xfId="0" applyNumberFormat="1" applyFont="1" applyFill="1" applyBorder="1" applyAlignment="1">
      <alignment vertical="center"/>
    </xf>
    <xf numFmtId="168" fontId="1" fillId="0" borderId="0" xfId="0" applyNumberFormat="1" applyFont="1" applyFill="1" applyBorder="1" applyAlignment="1">
      <alignment vertical="center"/>
    </xf>
    <xf numFmtId="168" fontId="34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7" fillId="0" borderId="15" xfId="0" applyNumberFormat="1" applyFont="1" applyFill="1" applyBorder="1" applyAlignment="1">
      <alignment vertical="center"/>
    </xf>
    <xf numFmtId="168" fontId="34" fillId="0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0" xfId="0" applyNumberFormat="1" applyFont="1" applyFill="1"/>
    <xf numFmtId="3" fontId="7" fillId="0" borderId="0" xfId="0" applyNumberFormat="1" applyFont="1" applyFill="1"/>
    <xf numFmtId="3" fontId="7" fillId="0" borderId="0" xfId="0" applyNumberFormat="1" applyFont="1" applyFill="1" applyBorder="1"/>
    <xf numFmtId="168" fontId="33" fillId="0" borderId="2" xfId="0" applyNumberFormat="1" applyFont="1" applyFill="1" applyBorder="1" applyAlignment="1">
      <alignment horizontal="right" vertical="center"/>
    </xf>
    <xf numFmtId="168" fontId="33" fillId="0" borderId="3" xfId="0" applyNumberFormat="1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shrinkToFit="1"/>
    </xf>
    <xf numFmtId="168" fontId="37" fillId="0" borderId="0" xfId="0" applyNumberFormat="1" applyFont="1" applyBorder="1" applyAlignment="1">
      <alignment horizontal="right" vertical="center"/>
    </xf>
    <xf numFmtId="168" fontId="37" fillId="0" borderId="0" xfId="0" applyNumberFormat="1" applyFont="1" applyFill="1" applyBorder="1" applyAlignment="1">
      <alignment horizontal="right" vertical="center"/>
    </xf>
    <xf numFmtId="168" fontId="7" fillId="0" borderId="0" xfId="0" applyNumberFormat="1" applyFont="1"/>
    <xf numFmtId="168" fontId="33" fillId="0" borderId="1" xfId="0" applyNumberFormat="1" applyFont="1" applyBorder="1" applyAlignment="1">
      <alignment horizontal="right" vertical="center"/>
    </xf>
    <xf numFmtId="168" fontId="36" fillId="0" borderId="2" xfId="0" applyNumberFormat="1" applyFont="1" applyBorder="1" applyAlignment="1">
      <alignment horizontal="right" vertical="center"/>
    </xf>
    <xf numFmtId="168" fontId="36" fillId="3" borderId="2" xfId="0" applyNumberFormat="1" applyFont="1" applyFill="1" applyBorder="1" applyAlignment="1">
      <alignment horizontal="right" vertical="center"/>
    </xf>
    <xf numFmtId="168" fontId="41" fillId="0" borderId="3" xfId="0" applyNumberFormat="1" applyFont="1" applyBorder="1" applyAlignment="1">
      <alignment horizontal="right" vertical="center"/>
    </xf>
    <xf numFmtId="168" fontId="33" fillId="0" borderId="0" xfId="0" applyNumberFormat="1" applyFont="1" applyBorder="1" applyAlignment="1">
      <alignment horizontal="right" vertical="center"/>
    </xf>
    <xf numFmtId="168" fontId="33" fillId="3" borderId="2" xfId="0" applyNumberFormat="1" applyFont="1" applyFill="1" applyBorder="1" applyAlignment="1">
      <alignment horizontal="right" vertical="center"/>
    </xf>
    <xf numFmtId="168" fontId="34" fillId="0" borderId="6" xfId="0" applyNumberFormat="1" applyFont="1" applyBorder="1" applyAlignment="1">
      <alignment horizontal="right" vertical="center"/>
    </xf>
    <xf numFmtId="168" fontId="36" fillId="3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Fill="1"/>
    <xf numFmtId="168" fontId="40" fillId="0" borderId="0" xfId="0" applyNumberFormat="1" applyFont="1" applyAlignment="1">
      <alignment horizontal="right" vertical="center"/>
    </xf>
    <xf numFmtId="168" fontId="36" fillId="0" borderId="0" xfId="0" applyNumberFormat="1" applyFont="1" applyFill="1" applyBorder="1" applyAlignment="1">
      <alignment horizontal="right" vertical="center"/>
    </xf>
    <xf numFmtId="168" fontId="41" fillId="0" borderId="0" xfId="0" applyNumberFormat="1" applyFont="1" applyBorder="1" applyAlignment="1">
      <alignment horizontal="right" vertical="center"/>
    </xf>
    <xf numFmtId="168" fontId="41" fillId="0" borderId="0" xfId="0" applyNumberFormat="1" applyFont="1" applyFill="1" applyBorder="1" applyAlignment="1">
      <alignment horizontal="right" vertical="center"/>
    </xf>
    <xf numFmtId="168" fontId="34" fillId="0" borderId="0" xfId="0" applyNumberFormat="1" applyFont="1" applyFill="1" applyBorder="1" applyAlignment="1">
      <alignment horizontal="right" vertical="center"/>
    </xf>
    <xf numFmtId="168" fontId="55" fillId="0" borderId="0" xfId="0" applyNumberFormat="1" applyFont="1" applyAlignment="1">
      <alignment horizontal="right" vertical="center"/>
    </xf>
    <xf numFmtId="168" fontId="33" fillId="0" borderId="0" xfId="0" applyNumberFormat="1" applyFont="1" applyFill="1"/>
    <xf numFmtId="168" fontId="36" fillId="0" borderId="0" xfId="0" applyNumberFormat="1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vertical="center"/>
    </xf>
    <xf numFmtId="168" fontId="55" fillId="0" borderId="0" xfId="0" applyNumberFormat="1" applyFont="1" applyBorder="1" applyAlignment="1">
      <alignment horizontal="right" vertical="center"/>
    </xf>
    <xf numFmtId="168" fontId="55" fillId="0" borderId="0" xfId="0" applyNumberFormat="1" applyFont="1" applyFill="1" applyBorder="1" applyAlignment="1">
      <alignment horizontal="right" vertical="center"/>
    </xf>
    <xf numFmtId="168" fontId="55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Border="1" applyAlignment="1">
      <alignment horizontal="right" vertical="center"/>
    </xf>
    <xf numFmtId="168" fontId="47" fillId="0" borderId="0" xfId="0" applyNumberFormat="1" applyFont="1" applyFill="1" applyBorder="1" applyAlignment="1">
      <alignment horizontal="right" vertical="center"/>
    </xf>
    <xf numFmtId="168" fontId="47" fillId="0" borderId="0" xfId="0" applyNumberFormat="1" applyFont="1" applyAlignment="1">
      <alignment horizontal="right" vertical="center"/>
    </xf>
    <xf numFmtId="168" fontId="47" fillId="0" borderId="0" xfId="0" applyNumberFormat="1" applyFont="1" applyFill="1" applyAlignment="1">
      <alignment horizontal="right" vertical="center"/>
    </xf>
    <xf numFmtId="168" fontId="41" fillId="0" borderId="3" xfId="0" applyNumberFormat="1" applyFont="1" applyFill="1" applyBorder="1" applyAlignment="1">
      <alignment horizontal="right" vertical="center"/>
    </xf>
    <xf numFmtId="168" fontId="38" fillId="0" borderId="0" xfId="0" applyNumberFormat="1" applyFont="1" applyBorder="1" applyAlignment="1">
      <alignment horizontal="right" vertical="center"/>
    </xf>
    <xf numFmtId="168" fontId="38" fillId="0" borderId="0" xfId="0" applyNumberFormat="1" applyFont="1" applyFill="1" applyBorder="1" applyAlignment="1">
      <alignment horizontal="right" vertical="center"/>
    </xf>
    <xf numFmtId="168" fontId="36" fillId="0" borderId="6" xfId="0" applyNumberFormat="1" applyFont="1" applyBorder="1" applyAlignment="1">
      <alignment horizontal="right" vertical="center"/>
    </xf>
    <xf numFmtId="168" fontId="34" fillId="0" borderId="5" xfId="0" applyNumberFormat="1" applyFont="1" applyBorder="1" applyAlignment="1">
      <alignment horizontal="right" vertical="center"/>
    </xf>
    <xf numFmtId="168" fontId="34" fillId="0" borderId="5" xfId="0" applyNumberFormat="1" applyFont="1" applyFill="1" applyBorder="1" applyAlignment="1">
      <alignment horizontal="right" vertical="center"/>
    </xf>
    <xf numFmtId="168" fontId="34" fillId="0" borderId="14" xfId="0" applyNumberFormat="1" applyFont="1" applyBorder="1" applyAlignment="1">
      <alignment horizontal="right" vertical="center"/>
    </xf>
    <xf numFmtId="170" fontId="34" fillId="0" borderId="0" xfId="0" applyNumberFormat="1" applyFont="1" applyFill="1" applyBorder="1" applyAlignment="1">
      <alignment horizontal="right" vertical="center"/>
    </xf>
    <xf numFmtId="168" fontId="36" fillId="0" borderId="3" xfId="0" applyNumberFormat="1" applyFont="1" applyFill="1" applyBorder="1" applyAlignment="1">
      <alignment horizontal="right" vertical="center"/>
    </xf>
    <xf numFmtId="168" fontId="1" fillId="0" borderId="0" xfId="0" applyNumberFormat="1" applyFont="1" applyFill="1" applyBorder="1" applyAlignment="1">
      <alignment horizontal="right" vertical="center"/>
    </xf>
    <xf numFmtId="168" fontId="36" fillId="0" borderId="3" xfId="0" applyNumberFormat="1" applyFont="1" applyFill="1" applyBorder="1" applyAlignment="1">
      <alignment horizontal="right"/>
    </xf>
    <xf numFmtId="168" fontId="36" fillId="0" borderId="0" xfId="0" applyNumberFormat="1" applyFont="1" applyFill="1" applyBorder="1" applyAlignment="1"/>
    <xf numFmtId="168" fontId="36" fillId="0" borderId="3" xfId="0" applyNumberFormat="1" applyFont="1" applyFill="1" applyBorder="1" applyAlignment="1"/>
    <xf numFmtId="168" fontId="33" fillId="0" borderId="3" xfId="0" applyNumberFormat="1" applyFont="1" applyFill="1" applyBorder="1" applyAlignment="1"/>
    <xf numFmtId="168" fontId="33" fillId="0" borderId="0" xfId="0" applyNumberFormat="1" applyFont="1" applyFill="1" applyBorder="1" applyAlignment="1"/>
    <xf numFmtId="168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Alignment="1"/>
    <xf numFmtId="168" fontId="34" fillId="0" borderId="0" xfId="0" applyNumberFormat="1" applyFont="1" applyFill="1" applyBorder="1" applyAlignment="1">
      <alignment horizontal="right"/>
    </xf>
    <xf numFmtId="168" fontId="34" fillId="0" borderId="0" xfId="0" applyNumberFormat="1" applyFont="1" applyFill="1" applyBorder="1" applyAlignment="1"/>
    <xf numFmtId="168" fontId="6" fillId="0" borderId="0" xfId="0" applyNumberFormat="1" applyFont="1" applyFill="1" applyBorder="1" applyAlignment="1"/>
    <xf numFmtId="168" fontId="33" fillId="0" borderId="15" xfId="0" applyNumberFormat="1" applyFont="1" applyBorder="1"/>
    <xf numFmtId="168" fontId="33" fillId="0" borderId="15" xfId="0" applyNumberFormat="1" applyFont="1" applyFill="1" applyBorder="1"/>
    <xf numFmtId="168" fontId="14" fillId="0" borderId="0" xfId="0" applyNumberFormat="1" applyFont="1"/>
    <xf numFmtId="168" fontId="14" fillId="0" borderId="0" xfId="0" applyNumberFormat="1" applyFont="1" applyFill="1"/>
    <xf numFmtId="168" fontId="1" fillId="0" borderId="0" xfId="0" applyNumberFormat="1" applyFont="1"/>
    <xf numFmtId="168" fontId="1" fillId="0" borderId="0" xfId="0" applyNumberFormat="1" applyFont="1" applyFill="1"/>
    <xf numFmtId="168" fontId="1" fillId="0" borderId="15" xfId="0" applyNumberFormat="1" applyFont="1" applyBorder="1"/>
    <xf numFmtId="168" fontId="1" fillId="0" borderId="15" xfId="0" applyNumberFormat="1" applyFont="1" applyFill="1" applyBorder="1"/>
    <xf numFmtId="168" fontId="33" fillId="0" borderId="0" xfId="0" applyNumberFormat="1" applyFont="1"/>
    <xf numFmtId="168" fontId="33" fillId="0" borderId="0" xfId="0" applyNumberFormat="1" applyFont="1" applyAlignment="1">
      <alignment horizontal="right" vertical="center"/>
    </xf>
    <xf numFmtId="168" fontId="33" fillId="0" borderId="0" xfId="0" applyNumberFormat="1" applyFont="1" applyFill="1" applyAlignment="1">
      <alignment horizontal="right" vertical="center"/>
    </xf>
    <xf numFmtId="168" fontId="7" fillId="0" borderId="0" xfId="0" applyNumberFormat="1" applyFont="1" applyAlignment="1">
      <alignment vertical="center"/>
    </xf>
    <xf numFmtId="168" fontId="7" fillId="0" borderId="0" xfId="0" applyNumberFormat="1" applyFont="1" applyAlignment="1"/>
    <xf numFmtId="168" fontId="33" fillId="0" borderId="0" xfId="0" applyNumberFormat="1" applyFont="1" applyAlignment="1">
      <alignment vertical="center"/>
    </xf>
    <xf numFmtId="168" fontId="33" fillId="0" borderId="0" xfId="0" applyNumberFormat="1" applyFont="1" applyFill="1" applyAlignment="1"/>
    <xf numFmtId="168" fontId="33" fillId="0" borderId="0" xfId="0" applyNumberFormat="1" applyFont="1" applyAlignment="1"/>
    <xf numFmtId="168" fontId="33" fillId="0" borderId="0" xfId="0" applyNumberFormat="1" applyFont="1" applyFill="1" applyAlignment="1">
      <alignment vertical="center"/>
    </xf>
    <xf numFmtId="168" fontId="11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168" fontId="17" fillId="0" borderId="0" xfId="0" applyNumberFormat="1" applyFont="1" applyFill="1"/>
    <xf numFmtId="168" fontId="33" fillId="0" borderId="3" xfId="0" applyNumberFormat="1" applyFont="1" applyFill="1" applyBorder="1" applyAlignment="1">
      <alignment horizontal="right" vertical="center"/>
    </xf>
    <xf numFmtId="168" fontId="17" fillId="0" borderId="0" xfId="0" applyNumberFormat="1" applyFont="1" applyFill="1" applyBorder="1"/>
    <xf numFmtId="168" fontId="33" fillId="0" borderId="0" xfId="0" applyNumberFormat="1" applyFont="1" applyBorder="1"/>
    <xf numFmtId="168" fontId="33" fillId="0" borderId="0" xfId="0" applyNumberFormat="1" applyFont="1" applyFill="1" applyBorder="1"/>
    <xf numFmtId="168" fontId="7" fillId="0" borderId="6" xfId="0" applyNumberFormat="1" applyFont="1" applyBorder="1"/>
    <xf numFmtId="168" fontId="7" fillId="0" borderId="6" xfId="0" applyNumberFormat="1" applyFont="1" applyFill="1" applyBorder="1"/>
    <xf numFmtId="168" fontId="7" fillId="0" borderId="0" xfId="0" applyNumberFormat="1" applyFont="1" applyFill="1" applyBorder="1"/>
    <xf numFmtId="168" fontId="7" fillId="0" borderId="0" xfId="0" applyNumberFormat="1" applyFont="1" applyBorder="1"/>
    <xf numFmtId="168" fontId="34" fillId="0" borderId="3" xfId="0" applyNumberFormat="1" applyFont="1" applyFill="1" applyBorder="1" applyAlignment="1">
      <alignment horizontal="right" vertical="center"/>
    </xf>
    <xf numFmtId="168" fontId="34" fillId="0" borderId="3" xfId="0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70" fontId="34" fillId="0" borderId="3" xfId="0" applyNumberFormat="1" applyFont="1" applyFill="1" applyBorder="1" applyAlignment="1">
      <alignment horizontal="right" vertical="center"/>
    </xf>
    <xf numFmtId="170" fontId="34" fillId="0" borderId="0" xfId="0" applyNumberFormat="1" applyFont="1" applyFill="1" applyBorder="1" applyAlignment="1">
      <alignment vertical="center"/>
    </xf>
    <xf numFmtId="170" fontId="34" fillId="0" borderId="3" xfId="0" applyNumberFormat="1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horizontal="right"/>
    </xf>
    <xf numFmtId="170" fontId="5" fillId="0" borderId="0" xfId="0" applyNumberFormat="1" applyFont="1" applyFill="1" applyBorder="1"/>
    <xf numFmtId="169" fontId="7" fillId="0" borderId="0" xfId="0" applyNumberFormat="1" applyFont="1" applyFill="1" applyBorder="1"/>
    <xf numFmtId="170" fontId="7" fillId="0" borderId="0" xfId="0" applyNumberFormat="1" applyFont="1" applyFill="1" applyBorder="1"/>
    <xf numFmtId="168" fontId="34" fillId="0" borderId="15" xfId="0" applyNumberFormat="1" applyFont="1" applyFill="1" applyBorder="1" applyAlignment="1">
      <alignment horizontal="right" vertical="center"/>
    </xf>
    <xf numFmtId="168" fontId="7" fillId="0" borderId="3" xfId="0" applyNumberFormat="1" applyFont="1" applyBorder="1"/>
    <xf numFmtId="168" fontId="34" fillId="0" borderId="0" xfId="0" applyNumberFormat="1" applyFont="1" applyFill="1" applyBorder="1" applyAlignment="1">
      <alignment horizontal="right" vertical="center" shrinkToFit="1"/>
    </xf>
    <xf numFmtId="168" fontId="7" fillId="0" borderId="15" xfId="0" applyNumberFormat="1" applyFont="1" applyBorder="1"/>
    <xf numFmtId="168" fontId="33" fillId="0" borderId="3" xfId="0" applyNumberFormat="1" applyFont="1" applyBorder="1"/>
    <xf numFmtId="170" fontId="1" fillId="0" borderId="0" xfId="0" applyNumberFormat="1" applyFont="1" applyFill="1" applyBorder="1" applyAlignment="1">
      <alignment horizontal="right" vertical="center"/>
    </xf>
    <xf numFmtId="170" fontId="7" fillId="0" borderId="0" xfId="0" applyNumberFormat="1" applyFont="1" applyFill="1" applyBorder="1" applyAlignment="1">
      <alignment horizontal="right" vertical="center"/>
    </xf>
    <xf numFmtId="169" fontId="7" fillId="0" borderId="6" xfId="0" applyNumberFormat="1" applyFont="1" applyBorder="1"/>
    <xf numFmtId="169" fontId="7" fillId="0" borderId="6" xfId="0" applyNumberFormat="1" applyFont="1" applyFill="1" applyBorder="1"/>
    <xf numFmtId="169" fontId="7" fillId="0" borderId="0" xfId="0" applyNumberFormat="1" applyFont="1" applyBorder="1"/>
    <xf numFmtId="0" fontId="60" fillId="0" borderId="11" xfId="2" applyFont="1" applyBorder="1" applyAlignment="1">
      <alignment horizontal="left" vertical="center" indent="1"/>
    </xf>
    <xf numFmtId="168" fontId="1" fillId="0" borderId="0" xfId="0" applyNumberFormat="1" applyFont="1" applyFill="1" applyAlignment="1">
      <alignment vertical="center"/>
    </xf>
  </cellXfs>
  <cellStyles count="5">
    <cellStyle name="C05_Current yr col head" xfId="1" xr:uid="{00000000-0005-0000-0000-000000000000}"/>
    <cellStyle name="Гиперссылка" xfId="2" builtinId="8"/>
    <cellStyle name="Обычный" xfId="0" builtinId="0"/>
    <cellStyle name="Обычный_LUK_DataBook 2005_R_ConsolAccounts&amp;FinRatios" xfId="4" xr:uid="{00000000-0005-0000-0000-000003000000}"/>
    <cellStyle name="Обычный_LUK_DataBook 2005_R_Exploration&amp;Reserves" xfId="3" xr:uid="{00000000-0005-0000-0000-000004000000}"/>
  </cellStyles>
  <dxfs count="16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  <color rgb="FFFF5019"/>
      <color rgb="FFFFD5D5"/>
      <color rgb="FFFFABAB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7" dropStyle="combo" dx="16" fmlaLink="$A$1" fmlaRange="$D$3:$D$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</xdr:row>
      <xdr:rowOff>85726</xdr:rowOff>
    </xdr:from>
    <xdr:to>
      <xdr:col>1</xdr:col>
      <xdr:colOff>417150</xdr:colOff>
      <xdr:row>4</xdr:row>
      <xdr:rowOff>450027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52476"/>
          <a:ext cx="360000" cy="364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0</xdr:rowOff>
        </xdr:from>
        <xdr:to>
          <xdr:col>2</xdr:col>
          <xdr:colOff>1466850</xdr:colOff>
          <xdr:row>4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561974</xdr:colOff>
      <xdr:row>2</xdr:row>
      <xdr:rowOff>182028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" cy="56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36"/>
  <sheetViews>
    <sheetView showGridLines="0" tabSelected="1" zoomScaleNormal="100" workbookViewId="0"/>
  </sheetViews>
  <sheetFormatPr defaultRowHeight="15" x14ac:dyDescent="0.25"/>
  <cols>
    <col min="1" max="1" width="3.85546875" customWidth="1"/>
    <col min="2" max="2" width="6.28515625" customWidth="1"/>
    <col min="3" max="3" width="102.7109375" customWidth="1"/>
    <col min="7" max="7" width="10.5703125" customWidth="1"/>
  </cols>
  <sheetData>
    <row r="1" spans="1:4" ht="7.5" customHeight="1" thickBot="1" x14ac:dyDescent="0.3">
      <c r="A1" s="62">
        <v>1</v>
      </c>
    </row>
    <row r="2" spans="1:4" ht="15" customHeight="1" thickTop="1" x14ac:dyDescent="0.25">
      <c r="B2" s="52"/>
      <c r="C2" s="53"/>
    </row>
    <row r="3" spans="1:4" x14ac:dyDescent="0.25">
      <c r="B3" s="54"/>
      <c r="C3" s="68" t="s">
        <v>0</v>
      </c>
      <c r="D3" s="62" t="s">
        <v>1</v>
      </c>
    </row>
    <row r="4" spans="1:4" x14ac:dyDescent="0.25">
      <c r="B4" s="54"/>
      <c r="C4" s="58"/>
      <c r="D4" s="62" t="s">
        <v>2</v>
      </c>
    </row>
    <row r="5" spans="1:4" ht="42.75" x14ac:dyDescent="0.25">
      <c r="B5" s="54"/>
      <c r="C5" s="74" t="str">
        <f>IF(Contents!$A$1=2,"LUKOIL","ЛУKОЙЛ")</f>
        <v>ЛУKОЙЛ</v>
      </c>
    </row>
    <row r="6" spans="1:4" ht="21" customHeight="1" x14ac:dyDescent="0.25">
      <c r="B6" s="54"/>
      <c r="C6" s="65" t="str">
        <f>IF(Contents!$A$1=2,"Quarterly Financial and Operating Information IFRS","Квартальные финансовые и производственные результаты по МСФО")</f>
        <v>Квартальные финансовые и производственные результаты по МСФО</v>
      </c>
    </row>
    <row r="7" spans="1:4" ht="15" customHeight="1" x14ac:dyDescent="0.25">
      <c r="B7" s="54"/>
      <c r="C7" s="57"/>
    </row>
    <row r="8" spans="1:4" ht="15" customHeight="1" x14ac:dyDescent="0.25">
      <c r="B8" s="54"/>
      <c r="C8" s="72" t="str">
        <f>IF(Contents!$A$1=2,"Consolidated Statement of Financial Position","Консолидированный отчет о финансовом положении")</f>
        <v>Консолидированный отчет о финансовом положении</v>
      </c>
    </row>
    <row r="9" spans="1:4" ht="15" customHeight="1" x14ac:dyDescent="0.25">
      <c r="B9" s="54"/>
      <c r="C9" s="72" t="str">
        <f>IF(Contents!$A$1=2,"Consolidated Statement of Profit or Loss and Other Comprehensive Income","Консолидированный отчет о прибылях и убытках и прочем совокупном доходе")</f>
        <v>Консолидированный отчет о прибылях и убытках и прочем совокупном доходе</v>
      </c>
    </row>
    <row r="10" spans="1:4" ht="15" customHeight="1" x14ac:dyDescent="0.25">
      <c r="B10" s="54"/>
      <c r="C10" s="72" t="str">
        <f>IF(Contents!$A$1=2,"Consolidated Statement of Cash Flows","Консолидированный отчет о движении денежных средств")</f>
        <v>Консолидированный отчет о движении денежных средств</v>
      </c>
    </row>
    <row r="11" spans="1:4" ht="15" customHeight="1" x14ac:dyDescent="0.25">
      <c r="B11" s="54"/>
      <c r="C11" s="72" t="str">
        <f>IF(Contents!$A$1=2,"Key Financial and Operational Results","Основные финансовые и операционные показатели")</f>
        <v>Основные финансовые и операционные показатели</v>
      </c>
    </row>
    <row r="12" spans="1:4" ht="15" customHeight="1" x14ac:dyDescent="0.25">
      <c r="B12" s="54"/>
      <c r="C12" s="72" t="str">
        <f>IF(Contents!$A$1=2,"Production","Добыча")</f>
        <v>Добыча</v>
      </c>
    </row>
    <row r="13" spans="1:4" ht="15" customHeight="1" x14ac:dyDescent="0.25">
      <c r="B13" s="54"/>
      <c r="C13" s="551" t="str">
        <f>IF(Contents!$A$1=2,"Daily hydrocarbon production","Суточная добыча углеводородов")</f>
        <v>Суточная добыча углеводородов</v>
      </c>
    </row>
    <row r="14" spans="1:4" ht="15" customHeight="1" x14ac:dyDescent="0.25">
      <c r="B14" s="54"/>
      <c r="C14" s="551" t="str">
        <f>IF(Contents!$A$1=2,"Crude oil production","Добыча нефти")</f>
        <v>Добыча нефти</v>
      </c>
    </row>
    <row r="15" spans="1:4" ht="15" customHeight="1" x14ac:dyDescent="0.25">
      <c r="B15" s="54"/>
      <c r="C15" s="551" t="str">
        <f>IF(Contents!$A$1=2,"Gas produced","Добыча газа")</f>
        <v>Добыча газа</v>
      </c>
    </row>
    <row r="16" spans="1:4" ht="15" customHeight="1" x14ac:dyDescent="0.25">
      <c r="B16" s="54"/>
      <c r="C16" s="551" t="str">
        <f>IF(Contents!$A$1=2,"Tax rates for crude oil produced in Russia","Налог на добычу нефти в России")</f>
        <v>Налог на добычу нефти в России</v>
      </c>
    </row>
    <row r="17" spans="2:3" ht="15" customHeight="1" x14ac:dyDescent="0.25">
      <c r="B17" s="54"/>
      <c r="C17" s="551" t="str">
        <f>IF(Contents!$A$1=2,"Production from license areas subject to TAI","Объём добычи нефти и газового конденсата на лицензионных участках, к которым применяется НДД")</f>
        <v>Объём добычи нефти и газового конденсата на лицензионных участках, к которым применяется НДД</v>
      </c>
    </row>
    <row r="18" spans="2:3" ht="15" customHeight="1" x14ac:dyDescent="0.25">
      <c r="B18" s="54"/>
      <c r="C18" s="72" t="str">
        <f>IF(Contents!$A$1=2,"West Qurna-2","Западная Курна-2")</f>
        <v>Западная Курна-2</v>
      </c>
    </row>
    <row r="19" spans="2:3" ht="15" customHeight="1" x14ac:dyDescent="0.25">
      <c r="B19" s="54"/>
      <c r="C19" s="72" t="str">
        <f>IF(Contents!$A$1=2,"Refining","Переработка")</f>
        <v>Переработка</v>
      </c>
    </row>
    <row r="20" spans="2:3" ht="15" customHeight="1" x14ac:dyDescent="0.25">
      <c r="B20" s="54"/>
      <c r="C20" s="551" t="str">
        <f>IF(Contents!$A$1=2,"Refinery throughput","Переработка нефти")</f>
        <v>Переработка нефти</v>
      </c>
    </row>
    <row r="21" spans="2:3" ht="15" customHeight="1" x14ac:dyDescent="0.25">
      <c r="B21" s="54"/>
      <c r="C21" s="551" t="str">
        <f>IF(Contents!$A$1=2,"Production of the Group refineries","Объем производства нефтепродуктов")</f>
        <v>Объем производства нефтепродуктов</v>
      </c>
    </row>
    <row r="22" spans="2:3" ht="15" customHeight="1" x14ac:dyDescent="0.25">
      <c r="B22" s="54"/>
      <c r="C22" s="551" t="str">
        <f>IF(Contents!$A$1=2,"Products produced at petrochemical plants","Продукция, произведенная на нефтехимических заводах")</f>
        <v>Продукция, произведенная на нефтехимических заводах</v>
      </c>
    </row>
    <row r="23" spans="2:3" ht="15" customHeight="1" x14ac:dyDescent="0.25">
      <c r="B23" s="54"/>
      <c r="C23" s="72" t="str">
        <f>IF(Contents!$A$1=2,"Marketing and trading","Торговые операции")</f>
        <v>Торговые операции</v>
      </c>
    </row>
    <row r="24" spans="2:3" ht="15" customHeight="1" x14ac:dyDescent="0.25">
      <c r="B24" s="54"/>
      <c r="C24" s="551" t="str">
        <f>IF(Contents!$A$1=2,"Purchases","Закупки")</f>
        <v>Закупки</v>
      </c>
    </row>
    <row r="25" spans="2:3" ht="15" customHeight="1" x14ac:dyDescent="0.25">
      <c r="B25" s="54"/>
      <c r="C25" s="551" t="str">
        <f>IF(Contents!$A$1=2,"Exports of crude oil and refined products","Экспорт продукции")</f>
        <v>Экспорт продукции</v>
      </c>
    </row>
    <row r="26" spans="2:3" ht="15" customHeight="1" x14ac:dyDescent="0.25">
      <c r="B26" s="54"/>
      <c r="C26" s="72" t="str">
        <f>IF(Contents!$A$1=2,"Capital expenditures","Капитальные затраты")</f>
        <v>Капитальные затраты</v>
      </c>
    </row>
    <row r="27" spans="2:3" ht="15" customHeight="1" x14ac:dyDescent="0.25">
      <c r="B27" s="54"/>
      <c r="C27" s="72" t="str">
        <f>IF(Contents!$A$1=2,"Expenses","Затраты")</f>
        <v>Затраты</v>
      </c>
    </row>
    <row r="28" spans="2:3" ht="15" customHeight="1" x14ac:dyDescent="0.25">
      <c r="B28" s="54"/>
      <c r="C28" s="72" t="s">
        <v>4</v>
      </c>
    </row>
    <row r="29" spans="2:3" ht="15" customHeight="1" x14ac:dyDescent="0.25">
      <c r="B29" s="54"/>
      <c r="C29" s="72" t="str">
        <f>IF(Contents!$A$1=2,"Main Marcoeconomic Factors","Основные макроэкономические факторы")</f>
        <v>Основные макроэкономические факторы</v>
      </c>
    </row>
    <row r="30" spans="2:3" ht="15" customHeight="1" x14ac:dyDescent="0.25">
      <c r="B30" s="54"/>
      <c r="C30" s="72" t="str">
        <f>IF(Contents!$A$1=2,"TAXATION","НАЛОГООБЛОЖЕНИЕ")</f>
        <v>НАЛОГООБЛОЖЕНИЕ</v>
      </c>
    </row>
    <row r="31" spans="2:3" x14ac:dyDescent="0.25">
      <c r="B31" s="54"/>
      <c r="C31" s="73"/>
    </row>
    <row r="32" spans="2:3" x14ac:dyDescent="0.25">
      <c r="B32" s="54"/>
      <c r="C32" s="66" t="str">
        <f>IF(Contents!$A$1=2,"Contacts","Контакты")</f>
        <v>Контакты</v>
      </c>
    </row>
    <row r="33" spans="2:3" x14ac:dyDescent="0.25">
      <c r="B33" s="54"/>
      <c r="C33" s="67" t="str">
        <f>IF(Contents!$A$1=2,"Tel.: +7 (495) 981 7526","Тел.: +7 (495) 981 7526")</f>
        <v>Тел.: +7 (495) 981 7526</v>
      </c>
    </row>
    <row r="34" spans="2:3" x14ac:dyDescent="0.25">
      <c r="B34" s="54"/>
      <c r="C34" s="67" t="str">
        <f>IF(Contents!$A$1=2,"e-mail: ir@lukoil.com","e-mail: ir@lukoil.com")</f>
        <v>e-mail: ir@lukoil.com</v>
      </c>
    </row>
    <row r="35" spans="2:3" ht="15.75" thickBot="1" x14ac:dyDescent="0.3">
      <c r="B35" s="55"/>
      <c r="C35" s="56"/>
    </row>
    <row r="36" spans="2:3" ht="15.75" thickTop="1" x14ac:dyDescent="0.25"/>
  </sheetData>
  <dataConsolidate/>
  <hyperlinks>
    <hyperlink ref="C8" location="'Balance Sheet'!A1" display="'Balance Sheet'!A1" xr:uid="{00000000-0004-0000-0000-000000000000}"/>
    <hyperlink ref="C9" location="'Statement of Income'!A1" display="'Statement of Income'!A1" xr:uid="{00000000-0004-0000-0000-000001000000}"/>
    <hyperlink ref="C10" location="'Cash Flows'!A1" display="'Cash Flows'!A1" xr:uid="{00000000-0004-0000-0000-000002000000}"/>
    <hyperlink ref="C12" location="Production!A1" display="Production!A1" xr:uid="{00000000-0004-0000-0000-000003000000}"/>
    <hyperlink ref="C19" location="Refining!A1" display="Refining!A1" xr:uid="{00000000-0004-0000-0000-000004000000}"/>
    <hyperlink ref="C26" location="'Capital expenditures'!A1" display="'Capital expenditures'!A1" xr:uid="{00000000-0004-0000-0000-000005000000}"/>
    <hyperlink ref="C23" location="'Marketing &amp; Trading'!A1" display="'Marketing &amp; Trading'!A1" xr:uid="{00000000-0004-0000-0000-000006000000}"/>
    <hyperlink ref="C18" location="'West Qurna-2'!A1" display="'West Qurna-2'!A1" xr:uid="{00000000-0004-0000-0000-000007000000}"/>
    <hyperlink ref="C13" location="Production!A5:A11" display="Production!A5:A11" xr:uid="{00000000-0004-0000-0000-000008000000}"/>
    <hyperlink ref="C20" location="Refining!A5:A14" display="Refining!A5:A14" xr:uid="{00000000-0004-0000-0000-000009000000}"/>
    <hyperlink ref="C21" location="Refining!A17:A49" display="Refining!A17:A49" xr:uid="{00000000-0004-0000-0000-00000A000000}"/>
    <hyperlink ref="C22" location="Refining!A51:A56" display="Refining!A51:A56" xr:uid="{00000000-0004-0000-0000-00000B000000}"/>
    <hyperlink ref="C15" location="Production!A52:A87" display="Production!A52:A87" xr:uid="{00000000-0004-0000-0000-00000C000000}"/>
    <hyperlink ref="C11" location="'Key Financial&amp;Operation Results'!A1" display="'Key Financial&amp;Operation Results'!A1" xr:uid="{00000000-0004-0000-0000-00000D000000}"/>
    <hyperlink ref="C14" location="Production!A14:A49" display="Production!A14:A49" xr:uid="{00000000-0004-0000-0000-00000E000000}"/>
    <hyperlink ref="C16" location="Production!A90:A101" display="Production!A90:A101" xr:uid="{00000000-0004-0000-0000-00000F000000}"/>
    <hyperlink ref="C17" location="Production!A104:A111" display="Production!A104:A111" xr:uid="{00000000-0004-0000-0000-000010000000}"/>
    <hyperlink ref="C24" location="'Marketing &amp; Trading'!A5:A34" display="'Marketing &amp; Trading'!A5:A34" xr:uid="{00000000-0004-0000-0000-000011000000}"/>
    <hyperlink ref="C25" location="'Marketing &amp; Trading'!A37:A131" display="'Marketing &amp; Trading'!A37:A131" xr:uid="{00000000-0004-0000-0000-000012000000}"/>
    <hyperlink ref="C27" location="Expenses!A1" display="Expenses!A1" xr:uid="{00000000-0004-0000-0000-000013000000}"/>
    <hyperlink ref="C28" location="EBITDA!A1" display="EBITDA" xr:uid="{00000000-0004-0000-0000-000014000000}"/>
    <hyperlink ref="C29" location="Macro!A1" display="Macro!A1" xr:uid="{00000000-0004-0000-0000-000015000000}"/>
    <hyperlink ref="C30" location="Taxation!A1" display="Taxation!A1" xr:uid="{00000000-0004-0000-0000-000016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28575</xdr:colOff>
                    <xdr:row>3</xdr:row>
                    <xdr:rowOff>0</xdr:rowOff>
                  </from>
                  <to>
                    <xdr:col>2</xdr:col>
                    <xdr:colOff>1466850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>
    <pageSetUpPr fitToPage="1"/>
  </sheetPr>
  <dimension ref="A1:AV42"/>
  <sheetViews>
    <sheetView showGridLines="0" zoomScaleNormal="10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220" customWidth="1"/>
    <col min="4" max="4" width="10.7109375" style="20" customWidth="1"/>
    <col min="5" max="5" width="0.85546875" style="220" customWidth="1"/>
    <col min="6" max="9" width="10.7109375" style="20" hidden="1" customWidth="1" outlineLevel="1"/>
    <col min="10" max="10" width="10.7109375" style="20" customWidth="1" collapsed="1"/>
    <col min="11" max="11" width="0.85546875" style="220" customWidth="1"/>
    <col min="12" max="15" width="10.7109375" style="20" hidden="1" customWidth="1" outlineLevel="1"/>
    <col min="16" max="16" width="10.7109375" style="20" customWidth="1" collapsed="1"/>
    <col min="17" max="17" width="0.85546875" style="2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7" width="10.7109375" style="20" customWidth="1"/>
    <col min="48" max="16384" width="9.140625" style="20"/>
  </cols>
  <sheetData>
    <row r="1" spans="1:47" s="220" customFormat="1" ht="15" customHeight="1" x14ac:dyDescent="0.2">
      <c r="D1" s="348"/>
      <c r="E1" s="355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7" ht="15" customHeight="1" x14ac:dyDescent="0.2">
      <c r="A2" s="335" t="str">
        <f>IF(Contents!$A$1=2,"CAPITAL EXPENDITURES","КАПИТАЛЬНЫЕ ЗАТРАТЫ")</f>
        <v>КАПИТАЛЬНЫЕ ЗАТРАТЫ</v>
      </c>
      <c r="B2" s="133"/>
    </row>
    <row r="3" spans="1:47" ht="15" customHeight="1" thickBot="1" x14ac:dyDescent="0.25">
      <c r="A3" s="132"/>
      <c r="B3" s="132"/>
      <c r="C3" s="60"/>
      <c r="D3" s="31"/>
      <c r="E3" s="60"/>
      <c r="F3" s="31"/>
      <c r="G3" s="31"/>
      <c r="H3" s="31"/>
      <c r="I3" s="31"/>
      <c r="J3" s="31"/>
      <c r="K3" s="60"/>
      <c r="L3" s="31"/>
      <c r="M3" s="31"/>
      <c r="N3" s="31"/>
      <c r="O3" s="31"/>
      <c r="P3" s="31"/>
      <c r="Q3" s="60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52"/>
    </row>
    <row r="4" spans="1:47" ht="15" customHeight="1" thickTop="1" x14ac:dyDescent="0.2">
      <c r="AT4" s="220"/>
      <c r="AU4" s="220"/>
    </row>
    <row r="5" spans="1:47" s="21" customFormat="1" ht="15" customHeight="1" x14ac:dyDescent="0.3">
      <c r="A5" s="39" t="str">
        <f>IF(Contents!$A$1=2,"Capital expenditures¹","Капитальные затраты¹")</f>
        <v>Капитальные затраты¹</v>
      </c>
      <c r="B5" s="39"/>
      <c r="C5" s="223"/>
      <c r="E5" s="223"/>
      <c r="K5" s="223"/>
      <c r="Q5" s="223"/>
      <c r="W5" s="223"/>
      <c r="AC5" s="223"/>
      <c r="AI5" s="223"/>
      <c r="AO5" s="223"/>
      <c r="AT5" s="223"/>
      <c r="AU5" s="223"/>
    </row>
    <row r="6" spans="1:47" ht="15" customHeight="1" x14ac:dyDescent="0.2"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  <c r="AT6" s="233"/>
      <c r="AU6" s="233"/>
    </row>
    <row r="7" spans="1:47" s="1" customFormat="1" ht="15" customHeight="1" x14ac:dyDescent="0.2">
      <c r="A7" s="75"/>
      <c r="B7" s="313"/>
      <c r="C7" s="16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26">
        <v>2017</v>
      </c>
      <c r="W7" s="328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26">
        <v>2018</v>
      </c>
      <c r="AC7" s="328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26">
        <v>2019</v>
      </c>
      <c r="AI7" s="328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26">
        <v>2020</v>
      </c>
      <c r="AO7" s="328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26">
        <v>2021</v>
      </c>
      <c r="AU7" s="328"/>
    </row>
    <row r="8" spans="1:47" s="16" customFormat="1" ht="15" customHeight="1" x14ac:dyDescent="0.2">
      <c r="A8" s="234" t="str">
        <f>IF(Contents!$A$1=2,"Total exploration and production","Разведка и добыча")</f>
        <v>Разведка и добыча</v>
      </c>
      <c r="B8" s="305" t="str">
        <f>IF(Contents!$A$1=2,"mln RUB","млн руб.")</f>
        <v>млн руб.</v>
      </c>
      <c r="C8" s="119"/>
      <c r="D8" s="522">
        <v>463032</v>
      </c>
      <c r="E8" s="426"/>
      <c r="F8" s="522">
        <v>122552</v>
      </c>
      <c r="G8" s="522">
        <v>120055</v>
      </c>
      <c r="H8" s="522">
        <v>119896</v>
      </c>
      <c r="I8" s="522">
        <v>125591</v>
      </c>
      <c r="J8" s="522">
        <v>488094</v>
      </c>
      <c r="K8" s="426"/>
      <c r="L8" s="522">
        <v>107477</v>
      </c>
      <c r="M8" s="522">
        <v>104620</v>
      </c>
      <c r="N8" s="522">
        <v>91892</v>
      </c>
      <c r="O8" s="522">
        <v>123462</v>
      </c>
      <c r="P8" s="522">
        <v>427451</v>
      </c>
      <c r="Q8" s="418"/>
      <c r="R8" s="522">
        <v>117967</v>
      </c>
      <c r="S8" s="522">
        <v>112023</v>
      </c>
      <c r="T8" s="522">
        <v>104038</v>
      </c>
      <c r="U8" s="522">
        <v>109606</v>
      </c>
      <c r="V8" s="522">
        <v>443634</v>
      </c>
      <c r="W8" s="426"/>
      <c r="X8" s="522">
        <v>99407</v>
      </c>
      <c r="Y8" s="522">
        <v>90942</v>
      </c>
      <c r="Z8" s="522">
        <v>86250</v>
      </c>
      <c r="AA8" s="522">
        <v>87257</v>
      </c>
      <c r="AB8" s="522">
        <v>363856</v>
      </c>
      <c r="AC8" s="426"/>
      <c r="AD8" s="522">
        <v>80838</v>
      </c>
      <c r="AE8" s="522">
        <v>90754</v>
      </c>
      <c r="AF8" s="522">
        <v>90786</v>
      </c>
      <c r="AG8" s="522">
        <v>102562</v>
      </c>
      <c r="AH8" s="522">
        <v>364940</v>
      </c>
      <c r="AI8" s="426"/>
      <c r="AJ8" s="522">
        <v>109581</v>
      </c>
      <c r="AK8" s="522">
        <v>97365</v>
      </c>
      <c r="AL8" s="522">
        <v>90229</v>
      </c>
      <c r="AM8" s="522">
        <v>102378</v>
      </c>
      <c r="AN8" s="522">
        <v>399553</v>
      </c>
      <c r="AO8" s="426"/>
      <c r="AP8" s="522">
        <v>78292</v>
      </c>
      <c r="AQ8" s="522">
        <v>79638</v>
      </c>
      <c r="AR8" s="522">
        <v>70787</v>
      </c>
      <c r="AS8" s="522">
        <v>91517</v>
      </c>
      <c r="AT8" s="522">
        <v>320234</v>
      </c>
      <c r="AU8" s="150"/>
    </row>
    <row r="9" spans="1:47" s="16" customFormat="1" ht="15" customHeight="1" x14ac:dyDescent="0.2">
      <c r="A9" s="121" t="str">
        <f>IF(Contents!$A$1=2,"Total in Russia","Разведка и добыча в России")</f>
        <v>Разведка и добыча в России</v>
      </c>
      <c r="B9" s="280" t="str">
        <f>IF(Contents!$A$1=2,"mln RUB","млн руб.")</f>
        <v>млн руб.</v>
      </c>
      <c r="D9" s="418">
        <v>327821</v>
      </c>
      <c r="E9" s="418"/>
      <c r="F9" s="418">
        <v>74053</v>
      </c>
      <c r="G9" s="418">
        <v>70072</v>
      </c>
      <c r="H9" s="418">
        <v>68870</v>
      </c>
      <c r="I9" s="418">
        <v>79222</v>
      </c>
      <c r="J9" s="418">
        <v>292217</v>
      </c>
      <c r="K9" s="418"/>
      <c r="L9" s="418">
        <v>75899</v>
      </c>
      <c r="M9" s="418">
        <v>70472</v>
      </c>
      <c r="N9" s="418">
        <v>68135</v>
      </c>
      <c r="O9" s="418">
        <v>69259</v>
      </c>
      <c r="P9" s="418">
        <v>283765</v>
      </c>
      <c r="Q9" s="418"/>
      <c r="R9" s="418">
        <v>78077</v>
      </c>
      <c r="S9" s="418">
        <v>79498</v>
      </c>
      <c r="T9" s="418">
        <v>74747</v>
      </c>
      <c r="U9" s="418">
        <v>83152</v>
      </c>
      <c r="V9" s="418">
        <v>315474</v>
      </c>
      <c r="W9" s="418"/>
      <c r="X9" s="418">
        <v>80029</v>
      </c>
      <c r="Y9" s="418">
        <v>73425</v>
      </c>
      <c r="Z9" s="418">
        <v>71096</v>
      </c>
      <c r="AA9" s="418">
        <v>74554</v>
      </c>
      <c r="AB9" s="418">
        <v>299104</v>
      </c>
      <c r="AC9" s="418"/>
      <c r="AD9" s="418">
        <v>65471</v>
      </c>
      <c r="AE9" s="418">
        <v>75749</v>
      </c>
      <c r="AF9" s="418">
        <v>77739</v>
      </c>
      <c r="AG9" s="418">
        <v>80934</v>
      </c>
      <c r="AH9" s="418">
        <v>299893</v>
      </c>
      <c r="AI9" s="418"/>
      <c r="AJ9" s="418">
        <v>89023</v>
      </c>
      <c r="AK9" s="418">
        <v>84745</v>
      </c>
      <c r="AL9" s="418">
        <v>80443</v>
      </c>
      <c r="AM9" s="418">
        <v>89081</v>
      </c>
      <c r="AN9" s="418">
        <v>343292</v>
      </c>
      <c r="AO9" s="418"/>
      <c r="AP9" s="418">
        <v>60663</v>
      </c>
      <c r="AQ9" s="418">
        <v>65911</v>
      </c>
      <c r="AR9" s="418">
        <v>61147</v>
      </c>
      <c r="AS9" s="418">
        <v>67916</v>
      </c>
      <c r="AT9" s="418">
        <v>255637</v>
      </c>
      <c r="AU9" s="152"/>
    </row>
    <row r="10" spans="1:47" s="16" customFormat="1" ht="15" customHeight="1" x14ac:dyDescent="0.2">
      <c r="A10" s="229" t="str">
        <f>IF(Contents!$A$1=2,"West Siberia","Западная Сибирь")</f>
        <v>Западная Сибирь</v>
      </c>
      <c r="B10" s="280" t="str">
        <f>IF(Contents!$A$1=2,"mln RUB","млн руб.")</f>
        <v>млн руб.</v>
      </c>
      <c r="D10" s="418">
        <v>125407</v>
      </c>
      <c r="E10" s="418"/>
      <c r="F10" s="418">
        <v>33856</v>
      </c>
      <c r="G10" s="418">
        <v>27919</v>
      </c>
      <c r="H10" s="418">
        <v>22364</v>
      </c>
      <c r="I10" s="418">
        <v>26902</v>
      </c>
      <c r="J10" s="418">
        <v>111041</v>
      </c>
      <c r="K10" s="418"/>
      <c r="L10" s="418">
        <v>28601</v>
      </c>
      <c r="M10" s="418">
        <v>31081</v>
      </c>
      <c r="N10" s="418">
        <v>27347</v>
      </c>
      <c r="O10" s="418">
        <v>28123</v>
      </c>
      <c r="P10" s="418">
        <v>115152</v>
      </c>
      <c r="Q10" s="418"/>
      <c r="R10" s="418">
        <v>34742</v>
      </c>
      <c r="S10" s="418">
        <v>34323</v>
      </c>
      <c r="T10" s="418">
        <v>30771</v>
      </c>
      <c r="U10" s="418">
        <v>32334</v>
      </c>
      <c r="V10" s="418">
        <v>132170</v>
      </c>
      <c r="W10" s="418"/>
      <c r="X10" s="418">
        <v>38189</v>
      </c>
      <c r="Y10" s="418">
        <v>32724</v>
      </c>
      <c r="Z10" s="418">
        <v>27831</v>
      </c>
      <c r="AA10" s="418">
        <v>30306</v>
      </c>
      <c r="AB10" s="418">
        <v>129050</v>
      </c>
      <c r="AC10" s="418"/>
      <c r="AD10" s="418">
        <v>32035</v>
      </c>
      <c r="AE10" s="418">
        <v>35441</v>
      </c>
      <c r="AF10" s="418">
        <v>37868</v>
      </c>
      <c r="AG10" s="418">
        <v>35922</v>
      </c>
      <c r="AH10" s="418">
        <v>141266</v>
      </c>
      <c r="AI10" s="418"/>
      <c r="AJ10" s="418">
        <v>45824</v>
      </c>
      <c r="AK10" s="418">
        <v>40808</v>
      </c>
      <c r="AL10" s="418">
        <v>31614</v>
      </c>
      <c r="AM10" s="418">
        <v>31921</v>
      </c>
      <c r="AN10" s="418">
        <v>150167</v>
      </c>
      <c r="AO10" s="418"/>
      <c r="AP10" s="418">
        <v>25840</v>
      </c>
      <c r="AQ10" s="418">
        <v>35347</v>
      </c>
      <c r="AR10" s="418">
        <v>33553</v>
      </c>
      <c r="AS10" s="418">
        <v>35078</v>
      </c>
      <c r="AT10" s="418">
        <v>129818</v>
      </c>
      <c r="AU10" s="152"/>
    </row>
    <row r="11" spans="1:47" s="16" customFormat="1" ht="15" customHeight="1" x14ac:dyDescent="0.2">
      <c r="A11" s="229" t="str">
        <f>IF(Contents!$A$1=2,"Timan-Pechora ","Тимано-Печора")</f>
        <v>Тимано-Печора</v>
      </c>
      <c r="B11" s="280" t="str">
        <f>IF(Contents!$A$1=2,"mln RUB","млн руб.")</f>
        <v>млн руб.</v>
      </c>
      <c r="D11" s="418">
        <v>86558</v>
      </c>
      <c r="E11" s="418"/>
      <c r="F11" s="418">
        <v>19350</v>
      </c>
      <c r="G11" s="418">
        <v>19592</v>
      </c>
      <c r="H11" s="418">
        <v>23012</v>
      </c>
      <c r="I11" s="418">
        <v>25764</v>
      </c>
      <c r="J11" s="418">
        <v>87718</v>
      </c>
      <c r="K11" s="418"/>
      <c r="L11" s="418">
        <v>27302</v>
      </c>
      <c r="M11" s="418">
        <v>23447</v>
      </c>
      <c r="N11" s="418">
        <v>17208</v>
      </c>
      <c r="O11" s="418">
        <v>15913</v>
      </c>
      <c r="P11" s="418">
        <v>83870</v>
      </c>
      <c r="Q11" s="418"/>
      <c r="R11" s="418">
        <v>19944</v>
      </c>
      <c r="S11" s="418">
        <v>20735</v>
      </c>
      <c r="T11" s="418">
        <v>17352</v>
      </c>
      <c r="U11" s="418">
        <v>19048</v>
      </c>
      <c r="V11" s="418">
        <v>77079</v>
      </c>
      <c r="W11" s="418"/>
      <c r="X11" s="418">
        <v>21737</v>
      </c>
      <c r="Y11" s="418">
        <v>17689</v>
      </c>
      <c r="Z11" s="418">
        <v>15605</v>
      </c>
      <c r="AA11" s="418">
        <v>14739</v>
      </c>
      <c r="AB11" s="418">
        <v>69770</v>
      </c>
      <c r="AC11" s="418"/>
      <c r="AD11" s="418">
        <v>16683</v>
      </c>
      <c r="AE11" s="418">
        <v>18958</v>
      </c>
      <c r="AF11" s="418">
        <v>14964</v>
      </c>
      <c r="AG11" s="418">
        <v>16203</v>
      </c>
      <c r="AH11" s="418">
        <v>66808</v>
      </c>
      <c r="AI11" s="418"/>
      <c r="AJ11" s="418">
        <v>19002</v>
      </c>
      <c r="AK11" s="418">
        <v>24018</v>
      </c>
      <c r="AL11" s="418">
        <v>19844</v>
      </c>
      <c r="AM11" s="418">
        <v>19103</v>
      </c>
      <c r="AN11" s="418">
        <v>81967</v>
      </c>
      <c r="AO11" s="418"/>
      <c r="AP11" s="418">
        <v>15820</v>
      </c>
      <c r="AQ11" s="418">
        <v>12988</v>
      </c>
      <c r="AR11" s="418">
        <v>9439</v>
      </c>
      <c r="AS11" s="418">
        <v>10063</v>
      </c>
      <c r="AT11" s="418">
        <v>48310</v>
      </c>
      <c r="AU11" s="152"/>
    </row>
    <row r="12" spans="1:47" s="16" customFormat="1" ht="15" customHeight="1" x14ac:dyDescent="0.2">
      <c r="A12" s="229" t="str">
        <f>IF(Contents!$A$1=2,"Ural region","Урал")</f>
        <v>Урал</v>
      </c>
      <c r="B12" s="280" t="str">
        <f>IF(Contents!$A$1=2,"mln RUB","млн руб.")</f>
        <v>млн руб.</v>
      </c>
      <c r="D12" s="418">
        <v>40116</v>
      </c>
      <c r="E12" s="418"/>
      <c r="F12" s="418">
        <v>6588</v>
      </c>
      <c r="G12" s="418">
        <v>8204</v>
      </c>
      <c r="H12" s="418">
        <v>7737</v>
      </c>
      <c r="I12" s="418">
        <v>8303</v>
      </c>
      <c r="J12" s="418">
        <v>30832</v>
      </c>
      <c r="K12" s="418"/>
      <c r="L12" s="418">
        <v>7357</v>
      </c>
      <c r="M12" s="418">
        <v>6005</v>
      </c>
      <c r="N12" s="418">
        <v>6483</v>
      </c>
      <c r="O12" s="418">
        <v>6823</v>
      </c>
      <c r="P12" s="418">
        <v>26668</v>
      </c>
      <c r="Q12" s="418"/>
      <c r="R12" s="418">
        <v>6994</v>
      </c>
      <c r="S12" s="418">
        <v>7162</v>
      </c>
      <c r="T12" s="418">
        <v>7312</v>
      </c>
      <c r="U12" s="418">
        <v>9981</v>
      </c>
      <c r="V12" s="418">
        <v>31449</v>
      </c>
      <c r="W12" s="418"/>
      <c r="X12" s="418">
        <v>9484</v>
      </c>
      <c r="Y12" s="418">
        <v>8673</v>
      </c>
      <c r="Z12" s="418">
        <v>8825</v>
      </c>
      <c r="AA12" s="418">
        <v>8392</v>
      </c>
      <c r="AB12" s="418">
        <v>35374</v>
      </c>
      <c r="AC12" s="418"/>
      <c r="AD12" s="418">
        <v>7459</v>
      </c>
      <c r="AE12" s="418">
        <v>9444</v>
      </c>
      <c r="AF12" s="418">
        <v>9773</v>
      </c>
      <c r="AG12" s="418">
        <v>10567</v>
      </c>
      <c r="AH12" s="418">
        <v>37243</v>
      </c>
      <c r="AI12" s="418"/>
      <c r="AJ12" s="418">
        <v>11418</v>
      </c>
      <c r="AK12" s="418">
        <v>9661</v>
      </c>
      <c r="AL12" s="418">
        <v>9374</v>
      </c>
      <c r="AM12" s="418">
        <v>9280</v>
      </c>
      <c r="AN12" s="418">
        <v>39733</v>
      </c>
      <c r="AO12" s="418"/>
      <c r="AP12" s="418">
        <v>7471</v>
      </c>
      <c r="AQ12" s="418">
        <v>8063</v>
      </c>
      <c r="AR12" s="418">
        <v>7600</v>
      </c>
      <c r="AS12" s="418">
        <v>7654</v>
      </c>
      <c r="AT12" s="418">
        <v>30788</v>
      </c>
      <c r="AU12" s="152"/>
    </row>
    <row r="13" spans="1:47" s="16" customFormat="1" ht="15" customHeight="1" x14ac:dyDescent="0.2">
      <c r="A13" s="229" t="str">
        <f>IF(Contents!$A$1=2,"Volga region","Поволжье")</f>
        <v>Поволжье</v>
      </c>
      <c r="B13" s="280" t="str">
        <f>IF(Contents!$A$1=2,"mln RUB","млн руб.")</f>
        <v>млн руб.</v>
      </c>
      <c r="D13" s="418">
        <v>59519</v>
      </c>
      <c r="E13" s="418"/>
      <c r="F13" s="418">
        <v>11373</v>
      </c>
      <c r="G13" s="418">
        <v>11780</v>
      </c>
      <c r="H13" s="418">
        <v>13750</v>
      </c>
      <c r="I13" s="418">
        <v>16626</v>
      </c>
      <c r="J13" s="418">
        <v>53529</v>
      </c>
      <c r="K13" s="418"/>
      <c r="L13" s="418">
        <v>9864</v>
      </c>
      <c r="M13" s="418">
        <v>9671</v>
      </c>
      <c r="N13" s="418">
        <v>15456</v>
      </c>
      <c r="O13" s="418">
        <v>15069</v>
      </c>
      <c r="P13" s="418">
        <v>50060</v>
      </c>
      <c r="Q13" s="418"/>
      <c r="R13" s="418">
        <v>12918</v>
      </c>
      <c r="S13" s="418">
        <v>14481</v>
      </c>
      <c r="T13" s="418">
        <v>16335</v>
      </c>
      <c r="U13" s="418">
        <v>17098</v>
      </c>
      <c r="V13" s="418">
        <v>60832</v>
      </c>
      <c r="W13" s="418"/>
      <c r="X13" s="418">
        <v>8391</v>
      </c>
      <c r="Y13" s="418">
        <v>12341</v>
      </c>
      <c r="Z13" s="418">
        <v>16445</v>
      </c>
      <c r="AA13" s="418">
        <v>16304</v>
      </c>
      <c r="AB13" s="418">
        <v>53481</v>
      </c>
      <c r="AC13" s="418"/>
      <c r="AD13" s="418">
        <v>6957</v>
      </c>
      <c r="AE13" s="418">
        <v>9532</v>
      </c>
      <c r="AF13" s="418">
        <v>12767</v>
      </c>
      <c r="AG13" s="418">
        <v>14542</v>
      </c>
      <c r="AH13" s="418">
        <v>43798</v>
      </c>
      <c r="AI13" s="418"/>
      <c r="AJ13" s="418">
        <v>10175</v>
      </c>
      <c r="AK13" s="418">
        <v>8941</v>
      </c>
      <c r="AL13" s="418">
        <v>16649</v>
      </c>
      <c r="AM13" s="418">
        <v>25974</v>
      </c>
      <c r="AN13" s="418">
        <v>61739</v>
      </c>
      <c r="AO13" s="418"/>
      <c r="AP13" s="418">
        <v>9152</v>
      </c>
      <c r="AQ13" s="418">
        <v>8365</v>
      </c>
      <c r="AR13" s="418">
        <v>8446</v>
      </c>
      <c r="AS13" s="418">
        <v>8655</v>
      </c>
      <c r="AT13" s="418">
        <v>34618</v>
      </c>
      <c r="AU13" s="152"/>
    </row>
    <row r="14" spans="1:47" s="16" customFormat="1" ht="15" customHeight="1" x14ac:dyDescent="0.2">
      <c r="A14" s="229" t="str">
        <f>IF(Contents!$A$1=2,"Other in Russia","Прочие регионы России")</f>
        <v>Прочие регионы России</v>
      </c>
      <c r="B14" s="280" t="str">
        <f>IF(Contents!$A$1=2,"mln RUB","млн руб.")</f>
        <v>млн руб.</v>
      </c>
      <c r="D14" s="418">
        <v>16221</v>
      </c>
      <c r="E14" s="418"/>
      <c r="F14" s="418">
        <v>2886</v>
      </c>
      <c r="G14" s="418">
        <v>2577</v>
      </c>
      <c r="H14" s="418">
        <v>2007</v>
      </c>
      <c r="I14" s="418">
        <v>1627</v>
      </c>
      <c r="J14" s="418">
        <v>9097</v>
      </c>
      <c r="K14" s="418"/>
      <c r="L14" s="418">
        <v>2775</v>
      </c>
      <c r="M14" s="418">
        <v>268</v>
      </c>
      <c r="N14" s="418">
        <v>1641</v>
      </c>
      <c r="O14" s="418">
        <v>3331</v>
      </c>
      <c r="P14" s="418">
        <v>8015</v>
      </c>
      <c r="Q14" s="418"/>
      <c r="R14" s="418">
        <v>3479</v>
      </c>
      <c r="S14" s="418">
        <v>2797</v>
      </c>
      <c r="T14" s="418">
        <v>2977</v>
      </c>
      <c r="U14" s="418">
        <v>4691</v>
      </c>
      <c r="V14" s="418">
        <v>13944</v>
      </c>
      <c r="W14" s="418"/>
      <c r="X14" s="418">
        <v>2228</v>
      </c>
      <c r="Y14" s="418">
        <v>1998</v>
      </c>
      <c r="Z14" s="418">
        <v>2390</v>
      </c>
      <c r="AA14" s="418">
        <v>4813</v>
      </c>
      <c r="AB14" s="418">
        <v>11429</v>
      </c>
      <c r="AC14" s="418"/>
      <c r="AD14" s="418">
        <v>2337</v>
      </c>
      <c r="AE14" s="418">
        <v>2374</v>
      </c>
      <c r="AF14" s="418">
        <v>2367</v>
      </c>
      <c r="AG14" s="418">
        <v>3700</v>
      </c>
      <c r="AH14" s="418">
        <v>10778</v>
      </c>
      <c r="AI14" s="418"/>
      <c r="AJ14" s="418">
        <v>2604</v>
      </c>
      <c r="AK14" s="418">
        <v>1317</v>
      </c>
      <c r="AL14" s="418">
        <v>2962</v>
      </c>
      <c r="AM14" s="418">
        <v>2803</v>
      </c>
      <c r="AN14" s="418">
        <v>9686</v>
      </c>
      <c r="AO14" s="418"/>
      <c r="AP14" s="418">
        <v>2380</v>
      </c>
      <c r="AQ14" s="418">
        <v>1148</v>
      </c>
      <c r="AR14" s="418">
        <v>2109</v>
      </c>
      <c r="AS14" s="418">
        <v>6466</v>
      </c>
      <c r="AT14" s="418">
        <v>12103</v>
      </c>
      <c r="AU14" s="152"/>
    </row>
    <row r="15" spans="1:47" s="1" customFormat="1" ht="15" customHeight="1" x14ac:dyDescent="0.2">
      <c r="A15" s="121" t="str">
        <f>IF(Contents!$A$1=2,"Total outside Russia","Разведка и добыча за рубежом")</f>
        <v>Разведка и добыча за рубежом</v>
      </c>
      <c r="B15" s="280" t="str">
        <f>IF(Contents!$A$1=2,"mln RUB","млн руб.")</f>
        <v>млн руб.</v>
      </c>
      <c r="C15" s="16"/>
      <c r="D15" s="418">
        <v>135211</v>
      </c>
      <c r="E15" s="418"/>
      <c r="F15" s="418">
        <v>48499</v>
      </c>
      <c r="G15" s="418">
        <v>49983</v>
      </c>
      <c r="H15" s="418">
        <v>51026</v>
      </c>
      <c r="I15" s="418">
        <v>46369</v>
      </c>
      <c r="J15" s="418">
        <v>195877</v>
      </c>
      <c r="K15" s="418"/>
      <c r="L15" s="418">
        <v>31578</v>
      </c>
      <c r="M15" s="418">
        <v>34148</v>
      </c>
      <c r="N15" s="418">
        <v>23757</v>
      </c>
      <c r="O15" s="418">
        <v>54203</v>
      </c>
      <c r="P15" s="418">
        <v>143686</v>
      </c>
      <c r="Q15" s="418"/>
      <c r="R15" s="418">
        <v>39890</v>
      </c>
      <c r="S15" s="418">
        <v>32525</v>
      </c>
      <c r="T15" s="418">
        <v>29291</v>
      </c>
      <c r="U15" s="418">
        <v>26454</v>
      </c>
      <c r="V15" s="418">
        <v>128160</v>
      </c>
      <c r="W15" s="418"/>
      <c r="X15" s="418">
        <v>19378</v>
      </c>
      <c r="Y15" s="418">
        <v>17517</v>
      </c>
      <c r="Z15" s="418">
        <v>15154</v>
      </c>
      <c r="AA15" s="418">
        <v>12703</v>
      </c>
      <c r="AB15" s="418">
        <v>64752</v>
      </c>
      <c r="AC15" s="418"/>
      <c r="AD15" s="418">
        <v>15367</v>
      </c>
      <c r="AE15" s="418">
        <v>15005</v>
      </c>
      <c r="AF15" s="418">
        <v>13047</v>
      </c>
      <c r="AG15" s="418">
        <v>21628</v>
      </c>
      <c r="AH15" s="418">
        <v>65047</v>
      </c>
      <c r="AI15" s="418"/>
      <c r="AJ15" s="418">
        <v>20558</v>
      </c>
      <c r="AK15" s="418">
        <v>12620</v>
      </c>
      <c r="AL15" s="418">
        <v>9786</v>
      </c>
      <c r="AM15" s="418">
        <v>13297</v>
      </c>
      <c r="AN15" s="418">
        <v>56261</v>
      </c>
      <c r="AO15" s="418"/>
      <c r="AP15" s="418">
        <v>17629</v>
      </c>
      <c r="AQ15" s="418">
        <v>13727</v>
      </c>
      <c r="AR15" s="418">
        <v>9640</v>
      </c>
      <c r="AS15" s="418">
        <v>23601</v>
      </c>
      <c r="AT15" s="418">
        <v>64597</v>
      </c>
      <c r="AU15" s="152"/>
    </row>
    <row r="16" spans="1:47" s="1" customFormat="1" ht="15" customHeight="1" x14ac:dyDescent="0.2">
      <c r="A16" s="122" t="str">
        <f>IF(Contents!$A$1=2,"Iraq","Ирак")</f>
        <v>Ирак</v>
      </c>
      <c r="B16" s="280" t="str">
        <f>IF(Contents!$A$1=2,"mln RUB","млн руб.")</f>
        <v>млн руб.</v>
      </c>
      <c r="C16" s="16"/>
      <c r="D16" s="418">
        <v>54738</v>
      </c>
      <c r="E16" s="418"/>
      <c r="F16" s="418">
        <v>13847</v>
      </c>
      <c r="G16" s="418">
        <v>7575</v>
      </c>
      <c r="H16" s="418">
        <v>13996</v>
      </c>
      <c r="I16" s="418">
        <v>9463</v>
      </c>
      <c r="J16" s="418">
        <v>44881</v>
      </c>
      <c r="K16" s="418"/>
      <c r="L16" s="418">
        <v>9321</v>
      </c>
      <c r="M16" s="418">
        <v>2378</v>
      </c>
      <c r="N16" s="418">
        <v>5617</v>
      </c>
      <c r="O16" s="418">
        <v>14529</v>
      </c>
      <c r="P16" s="418">
        <v>31845</v>
      </c>
      <c r="Q16" s="418"/>
      <c r="R16" s="418">
        <v>3812</v>
      </c>
      <c r="S16" s="418">
        <v>3775</v>
      </c>
      <c r="T16" s="418">
        <v>3142</v>
      </c>
      <c r="U16" s="418">
        <v>5249</v>
      </c>
      <c r="V16" s="418">
        <v>15978</v>
      </c>
      <c r="W16" s="418"/>
      <c r="X16" s="418">
        <v>4946</v>
      </c>
      <c r="Y16" s="418">
        <v>4365</v>
      </c>
      <c r="Z16" s="418">
        <v>6017</v>
      </c>
      <c r="AA16" s="418">
        <v>3521</v>
      </c>
      <c r="AB16" s="418">
        <v>18849</v>
      </c>
      <c r="AC16" s="418"/>
      <c r="AD16" s="418">
        <v>3363</v>
      </c>
      <c r="AE16" s="418">
        <v>7216</v>
      </c>
      <c r="AF16" s="418">
        <v>5153</v>
      </c>
      <c r="AG16" s="418">
        <v>7101</v>
      </c>
      <c r="AH16" s="418">
        <v>22833</v>
      </c>
      <c r="AI16" s="418"/>
      <c r="AJ16" s="418">
        <v>9885</v>
      </c>
      <c r="AK16" s="418">
        <v>5309</v>
      </c>
      <c r="AL16" s="418">
        <v>4620</v>
      </c>
      <c r="AM16" s="418">
        <v>6565</v>
      </c>
      <c r="AN16" s="418">
        <v>26379</v>
      </c>
      <c r="AO16" s="418"/>
      <c r="AP16" s="418">
        <v>12836</v>
      </c>
      <c r="AQ16" s="418">
        <v>7056</v>
      </c>
      <c r="AR16" s="418">
        <v>3844</v>
      </c>
      <c r="AS16" s="418">
        <v>12694</v>
      </c>
      <c r="AT16" s="418">
        <v>36430</v>
      </c>
      <c r="AU16" s="152"/>
    </row>
    <row r="17" spans="1:47" s="206" customFormat="1" ht="15" customHeight="1" x14ac:dyDescent="0.2">
      <c r="A17" s="161" t="str">
        <f>IF(Contents!$A$1=2,"West Qurna-2 project","Ирак («Западная Курна-2»)")</f>
        <v>Ирак («Западная Курна-2»)</v>
      </c>
      <c r="B17" s="280" t="str">
        <f>IF(Contents!$A$1=2,"mln RUB","млн руб.")</f>
        <v>млн руб.</v>
      </c>
      <c r="C17" s="16"/>
      <c r="D17" s="418">
        <v>0</v>
      </c>
      <c r="E17" s="418"/>
      <c r="F17" s="418">
        <v>9108</v>
      </c>
      <c r="G17" s="418">
        <v>2043</v>
      </c>
      <c r="H17" s="418">
        <v>5094</v>
      </c>
      <c r="I17" s="418">
        <v>11245</v>
      </c>
      <c r="J17" s="418">
        <v>27490</v>
      </c>
      <c r="K17" s="418"/>
      <c r="L17" s="418">
        <v>3449</v>
      </c>
      <c r="M17" s="418">
        <v>3509</v>
      </c>
      <c r="N17" s="418">
        <v>2796</v>
      </c>
      <c r="O17" s="418">
        <v>4430</v>
      </c>
      <c r="P17" s="418">
        <v>14184</v>
      </c>
      <c r="Q17" s="418"/>
      <c r="R17" s="418">
        <v>4816</v>
      </c>
      <c r="S17" s="418">
        <v>4002</v>
      </c>
      <c r="T17" s="418">
        <v>5200</v>
      </c>
      <c r="U17" s="418">
        <v>2348</v>
      </c>
      <c r="V17" s="418">
        <v>16366</v>
      </c>
      <c r="W17" s="418"/>
      <c r="X17" s="418">
        <v>2720</v>
      </c>
      <c r="Y17" s="418">
        <v>6457</v>
      </c>
      <c r="Z17" s="418">
        <v>4580</v>
      </c>
      <c r="AA17" s="418">
        <v>6210</v>
      </c>
      <c r="AB17" s="418">
        <v>19967</v>
      </c>
      <c r="AC17" s="418"/>
      <c r="AD17" s="418">
        <v>9268</v>
      </c>
      <c r="AE17" s="418">
        <v>4776</v>
      </c>
      <c r="AF17" s="418">
        <v>4163</v>
      </c>
      <c r="AG17" s="418">
        <v>6028</v>
      </c>
      <c r="AH17" s="418">
        <v>24235</v>
      </c>
      <c r="AI17" s="418"/>
      <c r="AJ17" s="418">
        <v>9268</v>
      </c>
      <c r="AK17" s="418">
        <v>4776</v>
      </c>
      <c r="AL17" s="418">
        <v>4163</v>
      </c>
      <c r="AM17" s="418">
        <v>6028</v>
      </c>
      <c r="AN17" s="418">
        <v>24235</v>
      </c>
      <c r="AO17" s="418"/>
      <c r="AP17" s="418">
        <v>12607</v>
      </c>
      <c r="AQ17" s="418">
        <v>6874</v>
      </c>
      <c r="AR17" s="418">
        <v>3667</v>
      </c>
      <c r="AS17" s="418">
        <v>12572</v>
      </c>
      <c r="AT17" s="418">
        <v>35720</v>
      </c>
      <c r="AU17" s="152"/>
    </row>
    <row r="18" spans="1:47" s="206" customFormat="1" ht="15" customHeight="1" x14ac:dyDescent="0.2">
      <c r="A18" s="161" t="str">
        <f>IF(Contents!$A$1=2,"Block-10","Ирак (Блок-10)")</f>
        <v>Ирак (Блок-10)</v>
      </c>
      <c r="B18" s="280" t="str">
        <f>IF(Contents!$A$1=2,"mln RUB","млн руб.")</f>
        <v>млн руб.</v>
      </c>
      <c r="C18" s="16"/>
      <c r="D18" s="418">
        <v>0</v>
      </c>
      <c r="E18" s="418"/>
      <c r="F18" s="418">
        <v>213</v>
      </c>
      <c r="G18" s="418">
        <v>335</v>
      </c>
      <c r="H18" s="418">
        <v>523</v>
      </c>
      <c r="I18" s="418">
        <v>3284</v>
      </c>
      <c r="J18" s="418">
        <v>4355</v>
      </c>
      <c r="K18" s="418"/>
      <c r="L18" s="418">
        <v>363</v>
      </c>
      <c r="M18" s="418">
        <v>266</v>
      </c>
      <c r="N18" s="418">
        <v>346</v>
      </c>
      <c r="O18" s="418">
        <v>819</v>
      </c>
      <c r="P18" s="418">
        <v>1794</v>
      </c>
      <c r="Q18" s="418"/>
      <c r="R18" s="418">
        <v>130</v>
      </c>
      <c r="S18" s="418">
        <v>363</v>
      </c>
      <c r="T18" s="418">
        <v>817</v>
      </c>
      <c r="U18" s="418">
        <v>1173</v>
      </c>
      <c r="V18" s="418">
        <v>2483</v>
      </c>
      <c r="W18" s="418"/>
      <c r="X18" s="418">
        <v>643</v>
      </c>
      <c r="Y18" s="418">
        <v>759</v>
      </c>
      <c r="Z18" s="418">
        <v>573</v>
      </c>
      <c r="AA18" s="418">
        <v>891</v>
      </c>
      <c r="AB18" s="418">
        <v>2866</v>
      </c>
      <c r="AC18" s="418"/>
      <c r="AD18" s="418">
        <v>617</v>
      </c>
      <c r="AE18" s="418">
        <v>533</v>
      </c>
      <c r="AF18" s="418">
        <v>457</v>
      </c>
      <c r="AG18" s="418">
        <v>537</v>
      </c>
      <c r="AH18" s="418">
        <v>2144</v>
      </c>
      <c r="AI18" s="418"/>
      <c r="AJ18" s="418">
        <v>617</v>
      </c>
      <c r="AK18" s="418">
        <v>533</v>
      </c>
      <c r="AL18" s="418">
        <v>457</v>
      </c>
      <c r="AM18" s="418">
        <v>537</v>
      </c>
      <c r="AN18" s="418">
        <v>2144</v>
      </c>
      <c r="AO18" s="418"/>
      <c r="AP18" s="418">
        <v>229</v>
      </c>
      <c r="AQ18" s="418">
        <v>182</v>
      </c>
      <c r="AR18" s="418">
        <v>177</v>
      </c>
      <c r="AS18" s="418">
        <v>122</v>
      </c>
      <c r="AT18" s="418">
        <v>710</v>
      </c>
      <c r="AU18" s="152"/>
    </row>
    <row r="19" spans="1:47" s="1" customFormat="1" ht="15" customHeight="1" x14ac:dyDescent="0.2">
      <c r="A19" s="122" t="str">
        <f>IF(Contents!$A$1=2,"Other outside Russia","Прочие за рубежом")</f>
        <v>Прочие за рубежом</v>
      </c>
      <c r="B19" s="280" t="str">
        <f>IF(Contents!$A$1=2,"mln RUB","млн руб.")</f>
        <v>млн руб.</v>
      </c>
      <c r="C19" s="16"/>
      <c r="D19" s="418">
        <v>80473</v>
      </c>
      <c r="E19" s="418"/>
      <c r="F19" s="418">
        <v>34652</v>
      </c>
      <c r="G19" s="418">
        <v>42408</v>
      </c>
      <c r="H19" s="418">
        <v>37030</v>
      </c>
      <c r="I19" s="418">
        <v>36906</v>
      </c>
      <c r="J19" s="418">
        <v>150996</v>
      </c>
      <c r="K19" s="418"/>
      <c r="L19" s="418">
        <v>22257</v>
      </c>
      <c r="M19" s="418">
        <v>31770</v>
      </c>
      <c r="N19" s="418">
        <v>18140</v>
      </c>
      <c r="O19" s="418">
        <v>39674</v>
      </c>
      <c r="P19" s="418">
        <v>111841</v>
      </c>
      <c r="Q19" s="418"/>
      <c r="R19" s="418">
        <v>36078</v>
      </c>
      <c r="S19" s="418">
        <v>28750</v>
      </c>
      <c r="T19" s="418">
        <v>26149</v>
      </c>
      <c r="U19" s="418">
        <v>21205</v>
      </c>
      <c r="V19" s="418">
        <v>112182</v>
      </c>
      <c r="W19" s="418"/>
      <c r="X19" s="418">
        <v>14432</v>
      </c>
      <c r="Y19" s="418">
        <v>13152</v>
      </c>
      <c r="Z19" s="418">
        <v>9137</v>
      </c>
      <c r="AA19" s="418">
        <v>9182</v>
      </c>
      <c r="AB19" s="418">
        <v>45903</v>
      </c>
      <c r="AC19" s="418"/>
      <c r="AD19" s="418">
        <v>12004</v>
      </c>
      <c r="AE19" s="418">
        <v>7789</v>
      </c>
      <c r="AF19" s="418">
        <v>7894</v>
      </c>
      <c r="AG19" s="418">
        <v>14527</v>
      </c>
      <c r="AH19" s="418">
        <v>42214</v>
      </c>
      <c r="AI19" s="418"/>
      <c r="AJ19" s="418">
        <v>10673</v>
      </c>
      <c r="AK19" s="418">
        <v>7311</v>
      </c>
      <c r="AL19" s="418">
        <v>5166</v>
      </c>
      <c r="AM19" s="418">
        <v>6732</v>
      </c>
      <c r="AN19" s="418">
        <v>29882</v>
      </c>
      <c r="AO19" s="418"/>
      <c r="AP19" s="418">
        <v>4793</v>
      </c>
      <c r="AQ19" s="418">
        <v>6671</v>
      </c>
      <c r="AR19" s="418">
        <v>5796</v>
      </c>
      <c r="AS19" s="418">
        <v>10907</v>
      </c>
      <c r="AT19" s="418">
        <v>28167</v>
      </c>
      <c r="AU19" s="152"/>
    </row>
    <row r="20" spans="1:47" s="16" customFormat="1" ht="15" customHeight="1" x14ac:dyDescent="0.2">
      <c r="A20" s="234" t="str">
        <f>IF(Contents!$A$1=2,"Total refining, marketing and distribution","Переработка, торговля и сбыт")</f>
        <v>Переработка, торговля и сбыт</v>
      </c>
      <c r="B20" s="305" t="str">
        <f>IF(Contents!$A$1=2,"mln RUB","млн руб.")</f>
        <v>млн руб.</v>
      </c>
      <c r="C20" s="119"/>
      <c r="D20" s="522">
        <v>141595</v>
      </c>
      <c r="E20" s="426"/>
      <c r="F20" s="522">
        <v>30098</v>
      </c>
      <c r="G20" s="522">
        <v>29399</v>
      </c>
      <c r="H20" s="522">
        <v>21007</v>
      </c>
      <c r="I20" s="522">
        <v>28692</v>
      </c>
      <c r="J20" s="522">
        <v>109196</v>
      </c>
      <c r="K20" s="426"/>
      <c r="L20" s="522">
        <v>17987</v>
      </c>
      <c r="M20" s="522">
        <v>17427</v>
      </c>
      <c r="N20" s="522">
        <v>16757</v>
      </c>
      <c r="O20" s="522">
        <v>15964</v>
      </c>
      <c r="P20" s="522">
        <v>68135</v>
      </c>
      <c r="Q20" s="418"/>
      <c r="R20" s="522">
        <v>11812</v>
      </c>
      <c r="S20" s="522">
        <v>12301</v>
      </c>
      <c r="T20" s="522">
        <v>14677</v>
      </c>
      <c r="U20" s="522">
        <v>27637</v>
      </c>
      <c r="V20" s="522">
        <v>66427</v>
      </c>
      <c r="W20" s="426"/>
      <c r="X20" s="522">
        <v>21052</v>
      </c>
      <c r="Y20" s="522">
        <v>13713</v>
      </c>
      <c r="Z20" s="522">
        <v>24724</v>
      </c>
      <c r="AA20" s="522">
        <v>24453</v>
      </c>
      <c r="AB20" s="522">
        <v>83942</v>
      </c>
      <c r="AC20" s="426"/>
      <c r="AD20" s="522">
        <v>15532</v>
      </c>
      <c r="AE20" s="522">
        <v>16189</v>
      </c>
      <c r="AF20" s="522">
        <v>17523</v>
      </c>
      <c r="AG20" s="522">
        <v>31896</v>
      </c>
      <c r="AH20" s="522">
        <v>81140</v>
      </c>
      <c r="AI20" s="426"/>
      <c r="AJ20" s="522">
        <v>20050</v>
      </c>
      <c r="AK20" s="522">
        <v>19447</v>
      </c>
      <c r="AL20" s="522">
        <v>21972</v>
      </c>
      <c r="AM20" s="522">
        <v>31575</v>
      </c>
      <c r="AN20" s="522">
        <v>93044</v>
      </c>
      <c r="AO20" s="426"/>
      <c r="AP20" s="522">
        <v>28187</v>
      </c>
      <c r="AQ20" s="522">
        <v>24011</v>
      </c>
      <c r="AR20" s="522">
        <v>22583</v>
      </c>
      <c r="AS20" s="522">
        <v>34871</v>
      </c>
      <c r="AT20" s="522">
        <v>109652</v>
      </c>
      <c r="AU20" s="150"/>
    </row>
    <row r="21" spans="1:47" s="16" customFormat="1" ht="15" customHeight="1" x14ac:dyDescent="0.2">
      <c r="A21" s="123" t="str">
        <f>IF(Contents!$A$1=2,"Russia","Россия")</f>
        <v>Россия</v>
      </c>
      <c r="B21" s="281" t="str">
        <f>IF(Contents!$A$1=2,"mln RUB","млн руб.")</f>
        <v>млн руб.</v>
      </c>
      <c r="C21" s="79"/>
      <c r="D21" s="470">
        <v>105546</v>
      </c>
      <c r="E21" s="467"/>
      <c r="F21" s="470">
        <v>21167</v>
      </c>
      <c r="G21" s="470">
        <v>22366</v>
      </c>
      <c r="H21" s="470">
        <v>16887</v>
      </c>
      <c r="I21" s="470">
        <v>23491</v>
      </c>
      <c r="J21" s="470">
        <v>83911</v>
      </c>
      <c r="K21" s="467"/>
      <c r="L21" s="470">
        <v>13947</v>
      </c>
      <c r="M21" s="470">
        <v>14538</v>
      </c>
      <c r="N21" s="470">
        <v>11163</v>
      </c>
      <c r="O21" s="470">
        <v>11940</v>
      </c>
      <c r="P21" s="470">
        <v>51588</v>
      </c>
      <c r="Q21" s="470"/>
      <c r="R21" s="470">
        <v>8363</v>
      </c>
      <c r="S21" s="470">
        <v>8837</v>
      </c>
      <c r="T21" s="470">
        <v>10830</v>
      </c>
      <c r="U21" s="470">
        <v>22263</v>
      </c>
      <c r="V21" s="470">
        <v>50293</v>
      </c>
      <c r="W21" s="470"/>
      <c r="X21" s="470">
        <v>15267</v>
      </c>
      <c r="Y21" s="470">
        <v>9252</v>
      </c>
      <c r="Z21" s="470">
        <v>21267</v>
      </c>
      <c r="AA21" s="470">
        <v>19540</v>
      </c>
      <c r="AB21" s="470">
        <v>65326</v>
      </c>
      <c r="AC21" s="470"/>
      <c r="AD21" s="470">
        <v>10851</v>
      </c>
      <c r="AE21" s="470">
        <v>11377</v>
      </c>
      <c r="AF21" s="470">
        <v>13972</v>
      </c>
      <c r="AG21" s="470">
        <v>26540</v>
      </c>
      <c r="AH21" s="470">
        <v>62740</v>
      </c>
      <c r="AI21" s="470"/>
      <c r="AJ21" s="470">
        <v>16319</v>
      </c>
      <c r="AK21" s="470">
        <v>13800</v>
      </c>
      <c r="AL21" s="470">
        <v>17090</v>
      </c>
      <c r="AM21" s="470">
        <v>25277</v>
      </c>
      <c r="AN21" s="470">
        <v>72486</v>
      </c>
      <c r="AO21" s="470"/>
      <c r="AP21" s="470">
        <v>17034</v>
      </c>
      <c r="AQ21" s="470">
        <v>15921</v>
      </c>
      <c r="AR21" s="470">
        <v>16796</v>
      </c>
      <c r="AS21" s="470">
        <v>28236</v>
      </c>
      <c r="AT21" s="470">
        <v>77987</v>
      </c>
      <c r="AU21" s="192"/>
    </row>
    <row r="22" spans="1:47" s="16" customFormat="1" ht="15" customHeight="1" x14ac:dyDescent="0.2">
      <c r="A22" s="161" t="str">
        <f>IF(Contents!$A$1=2,"refining","переработка")</f>
        <v>переработка</v>
      </c>
      <c r="B22" s="281" t="str">
        <f>IF(Contents!$A$1=2,"mln RUB","млн руб.")</f>
        <v>млн руб.</v>
      </c>
      <c r="C22" s="79"/>
      <c r="D22" s="470">
        <v>73907</v>
      </c>
      <c r="E22" s="467"/>
      <c r="F22" s="470">
        <v>17446</v>
      </c>
      <c r="G22" s="470">
        <v>12685</v>
      </c>
      <c r="H22" s="470">
        <v>11540</v>
      </c>
      <c r="I22" s="470">
        <v>13641</v>
      </c>
      <c r="J22" s="470">
        <v>55312</v>
      </c>
      <c r="K22" s="467"/>
      <c r="L22" s="470">
        <v>10778</v>
      </c>
      <c r="M22" s="470">
        <v>11724</v>
      </c>
      <c r="N22" s="470">
        <v>6064</v>
      </c>
      <c r="O22" s="470">
        <v>4058</v>
      </c>
      <c r="P22" s="470">
        <v>32624</v>
      </c>
      <c r="Q22" s="470"/>
      <c r="R22" s="470">
        <v>4969</v>
      </c>
      <c r="S22" s="470">
        <v>5155</v>
      </c>
      <c r="T22" s="470">
        <v>5074</v>
      </c>
      <c r="U22" s="470">
        <v>10022</v>
      </c>
      <c r="V22" s="470">
        <v>25220</v>
      </c>
      <c r="W22" s="470"/>
      <c r="X22" s="470">
        <v>9588</v>
      </c>
      <c r="Y22" s="470">
        <v>5776</v>
      </c>
      <c r="Z22" s="470">
        <v>16282</v>
      </c>
      <c r="AA22" s="470">
        <v>12975</v>
      </c>
      <c r="AB22" s="470">
        <v>44621</v>
      </c>
      <c r="AC22" s="470"/>
      <c r="AD22" s="470">
        <v>6777</v>
      </c>
      <c r="AE22" s="470">
        <v>7643</v>
      </c>
      <c r="AF22" s="470">
        <v>9264</v>
      </c>
      <c r="AG22" s="470">
        <v>16228</v>
      </c>
      <c r="AH22" s="470">
        <v>39912</v>
      </c>
      <c r="AI22" s="470"/>
      <c r="AJ22" s="470">
        <v>11639</v>
      </c>
      <c r="AK22" s="470">
        <v>11212</v>
      </c>
      <c r="AL22" s="470">
        <v>12563</v>
      </c>
      <c r="AM22" s="470">
        <v>16152</v>
      </c>
      <c r="AN22" s="470">
        <v>51566</v>
      </c>
      <c r="AO22" s="470"/>
      <c r="AP22" s="470">
        <v>10287</v>
      </c>
      <c r="AQ22" s="470">
        <v>12447</v>
      </c>
      <c r="AR22" s="470">
        <v>10296</v>
      </c>
      <c r="AS22" s="470">
        <v>15505</v>
      </c>
      <c r="AT22" s="470">
        <v>48535</v>
      </c>
      <c r="AU22" s="192"/>
    </row>
    <row r="23" spans="1:47" ht="15" customHeight="1" x14ac:dyDescent="0.2">
      <c r="A23" s="161" t="str">
        <f>IF(Contents!$A$1=2,"retail","розница")</f>
        <v>розница</v>
      </c>
      <c r="B23" s="281" t="str">
        <f>IF(Contents!$A$1=2,"mln RUB","млн руб.")</f>
        <v>млн руб.</v>
      </c>
      <c r="D23" s="506">
        <v>0</v>
      </c>
      <c r="E23" s="507"/>
      <c r="F23" s="506">
        <v>0</v>
      </c>
      <c r="G23" s="506">
        <v>0</v>
      </c>
      <c r="H23" s="506">
        <v>0</v>
      </c>
      <c r="I23" s="506">
        <v>0</v>
      </c>
      <c r="J23" s="506">
        <v>0</v>
      </c>
      <c r="K23" s="505"/>
      <c r="L23" s="470">
        <v>1009</v>
      </c>
      <c r="M23" s="470">
        <v>652</v>
      </c>
      <c r="N23" s="470">
        <v>1577</v>
      </c>
      <c r="O23" s="470">
        <v>3650</v>
      </c>
      <c r="P23" s="470">
        <v>6888</v>
      </c>
      <c r="Q23" s="505"/>
      <c r="R23" s="470">
        <v>701</v>
      </c>
      <c r="S23" s="470">
        <v>1445</v>
      </c>
      <c r="T23" s="470">
        <v>1950</v>
      </c>
      <c r="U23" s="470">
        <v>6581</v>
      </c>
      <c r="V23" s="470">
        <v>10677</v>
      </c>
      <c r="W23" s="505"/>
      <c r="X23" s="470">
        <v>2016</v>
      </c>
      <c r="Y23" s="470">
        <v>1150</v>
      </c>
      <c r="Z23" s="470">
        <v>2061</v>
      </c>
      <c r="AA23" s="470">
        <v>2206</v>
      </c>
      <c r="AB23" s="470">
        <v>7433</v>
      </c>
      <c r="AC23" s="505"/>
      <c r="AD23" s="470">
        <v>1394</v>
      </c>
      <c r="AE23" s="470">
        <v>560</v>
      </c>
      <c r="AF23" s="470">
        <v>601</v>
      </c>
      <c r="AG23" s="470">
        <v>1634</v>
      </c>
      <c r="AH23" s="470">
        <v>4189</v>
      </c>
      <c r="AI23" s="470"/>
      <c r="AJ23" s="470">
        <v>1311</v>
      </c>
      <c r="AK23" s="470">
        <v>772</v>
      </c>
      <c r="AL23" s="470">
        <v>562</v>
      </c>
      <c r="AM23" s="470">
        <v>1883</v>
      </c>
      <c r="AN23" s="470">
        <v>4528</v>
      </c>
      <c r="AO23" s="470"/>
      <c r="AP23" s="470">
        <v>1968</v>
      </c>
      <c r="AQ23" s="470">
        <v>403</v>
      </c>
      <c r="AR23" s="470">
        <v>860</v>
      </c>
      <c r="AS23" s="470">
        <v>2681</v>
      </c>
      <c r="AT23" s="470">
        <v>5912</v>
      </c>
      <c r="AU23" s="192"/>
    </row>
    <row r="24" spans="1:47" s="16" customFormat="1" ht="15" customHeight="1" x14ac:dyDescent="0.2">
      <c r="A24" s="161" t="str">
        <f>IF(Contents!$A$1=2,"other","прочие")</f>
        <v>прочие</v>
      </c>
      <c r="B24" s="281" t="str">
        <f>IF(Contents!$A$1=2,"mln RUB","млн руб.")</f>
        <v>млн руб.</v>
      </c>
      <c r="C24" s="79"/>
      <c r="D24" s="470">
        <v>0</v>
      </c>
      <c r="E24" s="467"/>
      <c r="F24" s="506">
        <v>0</v>
      </c>
      <c r="G24" s="506">
        <v>0</v>
      </c>
      <c r="H24" s="506">
        <v>0</v>
      </c>
      <c r="I24" s="506">
        <v>0</v>
      </c>
      <c r="J24" s="506">
        <v>0</v>
      </c>
      <c r="K24" s="467"/>
      <c r="L24" s="470">
        <v>2160</v>
      </c>
      <c r="M24" s="470">
        <v>2162</v>
      </c>
      <c r="N24" s="470">
        <v>3522</v>
      </c>
      <c r="O24" s="470">
        <v>4232</v>
      </c>
      <c r="P24" s="470">
        <v>12076</v>
      </c>
      <c r="Q24" s="470"/>
      <c r="R24" s="470">
        <v>2693</v>
      </c>
      <c r="S24" s="470">
        <v>2237</v>
      </c>
      <c r="T24" s="470">
        <v>3806</v>
      </c>
      <c r="U24" s="470">
        <v>5660</v>
      </c>
      <c r="V24" s="470">
        <v>14396</v>
      </c>
      <c r="W24" s="470"/>
      <c r="X24" s="470">
        <v>3663</v>
      </c>
      <c r="Y24" s="470">
        <v>2326</v>
      </c>
      <c r="Z24" s="470">
        <v>2924</v>
      </c>
      <c r="AA24" s="470">
        <v>4359</v>
      </c>
      <c r="AB24" s="470">
        <v>13272</v>
      </c>
      <c r="AC24" s="470"/>
      <c r="AD24" s="470">
        <v>2680</v>
      </c>
      <c r="AE24" s="470">
        <v>3174</v>
      </c>
      <c r="AF24" s="470">
        <v>4107</v>
      </c>
      <c r="AG24" s="470">
        <v>8678</v>
      </c>
      <c r="AH24" s="470">
        <v>18639</v>
      </c>
      <c r="AI24" s="470"/>
      <c r="AJ24" s="470">
        <v>3369</v>
      </c>
      <c r="AK24" s="470">
        <v>1816</v>
      </c>
      <c r="AL24" s="470">
        <v>3965</v>
      </c>
      <c r="AM24" s="470">
        <v>7242</v>
      </c>
      <c r="AN24" s="470">
        <v>16392</v>
      </c>
      <c r="AO24" s="470"/>
      <c r="AP24" s="470">
        <v>4779</v>
      </c>
      <c r="AQ24" s="470">
        <v>3071</v>
      </c>
      <c r="AR24" s="470">
        <v>5640</v>
      </c>
      <c r="AS24" s="470">
        <v>10050</v>
      </c>
      <c r="AT24" s="470">
        <v>23540</v>
      </c>
      <c r="AU24" s="192"/>
    </row>
    <row r="25" spans="1:47" s="16" customFormat="1" ht="15" customHeight="1" x14ac:dyDescent="0.2">
      <c r="A25" s="123" t="str">
        <f>IF(Contents!$A$1=2,"International","За рубежом")</f>
        <v>За рубежом</v>
      </c>
      <c r="B25" s="281" t="str">
        <f>IF(Contents!$A$1=2,"mln RUB","млн руб.")</f>
        <v>млн руб.</v>
      </c>
      <c r="C25" s="79"/>
      <c r="D25" s="470">
        <v>36049</v>
      </c>
      <c r="E25" s="467"/>
      <c r="F25" s="470">
        <v>8931</v>
      </c>
      <c r="G25" s="470">
        <v>7033</v>
      </c>
      <c r="H25" s="470">
        <v>4120</v>
      </c>
      <c r="I25" s="470">
        <v>5201</v>
      </c>
      <c r="J25" s="470">
        <v>25285</v>
      </c>
      <c r="K25" s="467"/>
      <c r="L25" s="470">
        <v>4040</v>
      </c>
      <c r="M25" s="470">
        <v>2889</v>
      </c>
      <c r="N25" s="470">
        <v>5594</v>
      </c>
      <c r="O25" s="470">
        <v>4024</v>
      </c>
      <c r="P25" s="470">
        <v>16547</v>
      </c>
      <c r="Q25" s="470"/>
      <c r="R25" s="470">
        <v>3449</v>
      </c>
      <c r="S25" s="470">
        <v>3464</v>
      </c>
      <c r="T25" s="470">
        <v>3847</v>
      </c>
      <c r="U25" s="470">
        <v>5374</v>
      </c>
      <c r="V25" s="470">
        <v>16134</v>
      </c>
      <c r="W25" s="470"/>
      <c r="X25" s="470">
        <v>5785</v>
      </c>
      <c r="Y25" s="470">
        <v>4461</v>
      </c>
      <c r="Z25" s="470">
        <v>3457</v>
      </c>
      <c r="AA25" s="470">
        <v>4913</v>
      </c>
      <c r="AB25" s="470">
        <v>18616</v>
      </c>
      <c r="AC25" s="470"/>
      <c r="AD25" s="470">
        <v>4681</v>
      </c>
      <c r="AE25" s="470">
        <v>4812</v>
      </c>
      <c r="AF25" s="470">
        <v>3551</v>
      </c>
      <c r="AG25" s="470">
        <v>5356</v>
      </c>
      <c r="AH25" s="470">
        <v>18400</v>
      </c>
      <c r="AI25" s="470"/>
      <c r="AJ25" s="470">
        <v>3731</v>
      </c>
      <c r="AK25" s="470">
        <v>5647</v>
      </c>
      <c r="AL25" s="470">
        <v>4882</v>
      </c>
      <c r="AM25" s="470">
        <v>6298</v>
      </c>
      <c r="AN25" s="470">
        <v>20558</v>
      </c>
      <c r="AO25" s="470"/>
      <c r="AP25" s="470">
        <v>11153</v>
      </c>
      <c r="AQ25" s="470">
        <v>8090</v>
      </c>
      <c r="AR25" s="470">
        <v>5787</v>
      </c>
      <c r="AS25" s="470">
        <v>6635</v>
      </c>
      <c r="AT25" s="470">
        <v>31665</v>
      </c>
      <c r="AU25" s="192"/>
    </row>
    <row r="26" spans="1:47" s="16" customFormat="1" ht="15" customHeight="1" x14ac:dyDescent="0.2">
      <c r="A26" s="161" t="str">
        <f>IF(Contents!$A$1=2,"refining","переработка")</f>
        <v>переработка</v>
      </c>
      <c r="B26" s="281" t="str">
        <f>IF(Contents!$A$1=2,"mln RUB","млн руб.")</f>
        <v>млн руб.</v>
      </c>
      <c r="C26" s="79"/>
      <c r="D26" s="470">
        <v>28493</v>
      </c>
      <c r="E26" s="467"/>
      <c r="F26" s="470">
        <v>7090</v>
      </c>
      <c r="G26" s="470">
        <v>5562</v>
      </c>
      <c r="H26" s="470">
        <v>2923</v>
      </c>
      <c r="I26" s="470">
        <v>2708</v>
      </c>
      <c r="J26" s="470">
        <v>18283</v>
      </c>
      <c r="K26" s="467"/>
      <c r="L26" s="470">
        <v>2012</v>
      </c>
      <c r="M26" s="470">
        <v>1901</v>
      </c>
      <c r="N26" s="470">
        <v>4350</v>
      </c>
      <c r="O26" s="470">
        <v>1551</v>
      </c>
      <c r="P26" s="470">
        <v>9814</v>
      </c>
      <c r="Q26" s="470"/>
      <c r="R26" s="470">
        <v>2449</v>
      </c>
      <c r="S26" s="470">
        <v>2123</v>
      </c>
      <c r="T26" s="470">
        <v>2540</v>
      </c>
      <c r="U26" s="470">
        <v>2728</v>
      </c>
      <c r="V26" s="470">
        <v>9840</v>
      </c>
      <c r="W26" s="470"/>
      <c r="X26" s="470">
        <v>4537</v>
      </c>
      <c r="Y26" s="470">
        <v>3115</v>
      </c>
      <c r="Z26" s="470">
        <v>2007</v>
      </c>
      <c r="AA26" s="470">
        <v>2722</v>
      </c>
      <c r="AB26" s="470">
        <v>12381</v>
      </c>
      <c r="AC26" s="470"/>
      <c r="AD26" s="470">
        <v>3302</v>
      </c>
      <c r="AE26" s="470">
        <v>3868</v>
      </c>
      <c r="AF26" s="470">
        <v>2308</v>
      </c>
      <c r="AG26" s="470">
        <v>2849</v>
      </c>
      <c r="AH26" s="470">
        <v>12327</v>
      </c>
      <c r="AI26" s="470"/>
      <c r="AJ26" s="470">
        <v>2752</v>
      </c>
      <c r="AK26" s="470">
        <v>4880</v>
      </c>
      <c r="AL26" s="470">
        <v>4121</v>
      </c>
      <c r="AM26" s="470">
        <v>4753</v>
      </c>
      <c r="AN26" s="470">
        <v>16506</v>
      </c>
      <c r="AO26" s="470"/>
      <c r="AP26" s="470">
        <v>9876</v>
      </c>
      <c r="AQ26" s="470">
        <v>7293</v>
      </c>
      <c r="AR26" s="470">
        <v>4441</v>
      </c>
      <c r="AS26" s="470">
        <v>4710</v>
      </c>
      <c r="AT26" s="470">
        <v>26320</v>
      </c>
      <c r="AU26" s="192"/>
    </row>
    <row r="27" spans="1:47" s="16" customFormat="1" ht="15" customHeight="1" x14ac:dyDescent="0.2">
      <c r="A27" s="161" t="str">
        <f>IF(Contents!$A$1=2,"retail","розница")</f>
        <v>розница</v>
      </c>
      <c r="B27" s="281" t="str">
        <f>IF(Contents!$A$1=2,"mln RUB","млн руб.")</f>
        <v>млн руб.</v>
      </c>
      <c r="C27" s="79"/>
      <c r="D27" s="470">
        <v>0</v>
      </c>
      <c r="E27" s="467"/>
      <c r="F27" s="506">
        <v>0</v>
      </c>
      <c r="G27" s="506">
        <v>0</v>
      </c>
      <c r="H27" s="506">
        <v>0</v>
      </c>
      <c r="I27" s="506">
        <v>0</v>
      </c>
      <c r="J27" s="506">
        <v>0</v>
      </c>
      <c r="K27" s="467"/>
      <c r="L27" s="470">
        <v>1949</v>
      </c>
      <c r="M27" s="470">
        <v>404</v>
      </c>
      <c r="N27" s="470">
        <v>1024</v>
      </c>
      <c r="O27" s="470">
        <v>2006</v>
      </c>
      <c r="P27" s="470">
        <v>5383</v>
      </c>
      <c r="Q27" s="470"/>
      <c r="R27" s="470">
        <v>736</v>
      </c>
      <c r="S27" s="470">
        <v>1327</v>
      </c>
      <c r="T27" s="470">
        <v>1529</v>
      </c>
      <c r="U27" s="470">
        <v>1898</v>
      </c>
      <c r="V27" s="470">
        <v>5490</v>
      </c>
      <c r="W27" s="470"/>
      <c r="X27" s="470">
        <v>924</v>
      </c>
      <c r="Y27" s="470">
        <v>938</v>
      </c>
      <c r="Z27" s="470">
        <v>670</v>
      </c>
      <c r="AA27" s="470">
        <v>1690</v>
      </c>
      <c r="AB27" s="470">
        <v>4222</v>
      </c>
      <c r="AC27" s="470"/>
      <c r="AD27" s="470">
        <v>899</v>
      </c>
      <c r="AE27" s="470">
        <v>380</v>
      </c>
      <c r="AF27" s="470">
        <v>880</v>
      </c>
      <c r="AG27" s="470">
        <v>2159</v>
      </c>
      <c r="AH27" s="470">
        <v>4318</v>
      </c>
      <c r="AI27" s="470"/>
      <c r="AJ27" s="470">
        <v>957</v>
      </c>
      <c r="AK27" s="470">
        <v>611</v>
      </c>
      <c r="AL27" s="470">
        <v>695</v>
      </c>
      <c r="AM27" s="470">
        <v>1216</v>
      </c>
      <c r="AN27" s="470">
        <v>3479</v>
      </c>
      <c r="AO27" s="470"/>
      <c r="AP27" s="470">
        <v>1179</v>
      </c>
      <c r="AQ27" s="470">
        <v>740</v>
      </c>
      <c r="AR27" s="470">
        <v>791</v>
      </c>
      <c r="AS27" s="470">
        <v>1604</v>
      </c>
      <c r="AT27" s="470">
        <v>4314</v>
      </c>
      <c r="AU27" s="192"/>
    </row>
    <row r="28" spans="1:47" s="16" customFormat="1" ht="15" customHeight="1" x14ac:dyDescent="0.2">
      <c r="A28" s="161" t="str">
        <f>IF(Contents!$A$1=2,"other","прочие")</f>
        <v>прочие</v>
      </c>
      <c r="B28" s="281" t="str">
        <f>IF(Contents!$A$1=2,"mln RUB","млн руб.")</f>
        <v>млн руб.</v>
      </c>
      <c r="C28" s="79"/>
      <c r="D28" s="470">
        <v>0</v>
      </c>
      <c r="E28" s="467"/>
      <c r="F28" s="506">
        <v>0</v>
      </c>
      <c r="G28" s="506">
        <v>0</v>
      </c>
      <c r="H28" s="506">
        <v>0</v>
      </c>
      <c r="I28" s="506">
        <v>0</v>
      </c>
      <c r="J28" s="506">
        <v>0</v>
      </c>
      <c r="K28" s="467"/>
      <c r="L28" s="470">
        <v>79</v>
      </c>
      <c r="M28" s="470">
        <v>584</v>
      </c>
      <c r="N28" s="470">
        <v>220</v>
      </c>
      <c r="O28" s="470">
        <v>467</v>
      </c>
      <c r="P28" s="470">
        <v>1350</v>
      </c>
      <c r="Q28" s="470"/>
      <c r="R28" s="470">
        <v>264</v>
      </c>
      <c r="S28" s="470">
        <v>14</v>
      </c>
      <c r="T28" s="470">
        <v>-222</v>
      </c>
      <c r="U28" s="470">
        <v>748</v>
      </c>
      <c r="V28" s="470">
        <v>804</v>
      </c>
      <c r="W28" s="470"/>
      <c r="X28" s="470">
        <v>324</v>
      </c>
      <c r="Y28" s="470">
        <v>408</v>
      </c>
      <c r="Z28" s="470">
        <v>780</v>
      </c>
      <c r="AA28" s="470">
        <v>501</v>
      </c>
      <c r="AB28" s="470">
        <v>2013</v>
      </c>
      <c r="AC28" s="470"/>
      <c r="AD28" s="470">
        <v>480</v>
      </c>
      <c r="AE28" s="470">
        <v>564</v>
      </c>
      <c r="AF28" s="470">
        <v>363</v>
      </c>
      <c r="AG28" s="470">
        <v>348</v>
      </c>
      <c r="AH28" s="470">
        <v>1755</v>
      </c>
      <c r="AI28" s="470"/>
      <c r="AJ28" s="470">
        <v>22</v>
      </c>
      <c r="AK28" s="470">
        <v>156</v>
      </c>
      <c r="AL28" s="470">
        <v>66</v>
      </c>
      <c r="AM28" s="470">
        <v>329</v>
      </c>
      <c r="AN28" s="470">
        <v>573</v>
      </c>
      <c r="AO28" s="470"/>
      <c r="AP28" s="470">
        <v>98</v>
      </c>
      <c r="AQ28" s="470">
        <v>57</v>
      </c>
      <c r="AR28" s="470">
        <v>555</v>
      </c>
      <c r="AS28" s="470">
        <v>321</v>
      </c>
      <c r="AT28" s="470">
        <v>1031</v>
      </c>
      <c r="AU28" s="192"/>
    </row>
    <row r="29" spans="1:47" s="1" customFormat="1" ht="15" customHeight="1" x14ac:dyDescent="0.2">
      <c r="A29" s="234" t="str">
        <f>IF(Contents!$A$1=2,"Corporate and other","Корпоративный центр и прочие")</f>
        <v>Корпоративный центр и прочие</v>
      </c>
      <c r="B29" s="305" t="str">
        <f>IF(Contents!$A$1=2,"mln RUB","млн руб.")</f>
        <v>млн руб.</v>
      </c>
      <c r="C29" s="119"/>
      <c r="D29" s="522">
        <v>6479</v>
      </c>
      <c r="E29" s="426"/>
      <c r="F29" s="522">
        <v>1421</v>
      </c>
      <c r="G29" s="522">
        <v>1319</v>
      </c>
      <c r="H29" s="522">
        <v>1759</v>
      </c>
      <c r="I29" s="522">
        <v>5416</v>
      </c>
      <c r="J29" s="522">
        <v>9915</v>
      </c>
      <c r="K29" s="426"/>
      <c r="L29" s="522">
        <v>343</v>
      </c>
      <c r="M29" s="522">
        <v>810</v>
      </c>
      <c r="N29" s="522">
        <v>79</v>
      </c>
      <c r="O29" s="522">
        <v>312</v>
      </c>
      <c r="P29" s="522">
        <v>1544</v>
      </c>
      <c r="Q29" s="418"/>
      <c r="R29" s="522">
        <v>449</v>
      </c>
      <c r="S29" s="522">
        <v>316</v>
      </c>
      <c r="T29" s="522">
        <v>187</v>
      </c>
      <c r="U29" s="522">
        <v>483</v>
      </c>
      <c r="V29" s="522">
        <v>1435</v>
      </c>
      <c r="W29" s="426"/>
      <c r="X29" s="522">
        <v>598</v>
      </c>
      <c r="Y29" s="522">
        <v>1122</v>
      </c>
      <c r="Z29" s="522">
        <v>452</v>
      </c>
      <c r="AA29" s="522">
        <v>1556</v>
      </c>
      <c r="AB29" s="522">
        <v>3728</v>
      </c>
      <c r="AC29" s="426"/>
      <c r="AD29" s="522">
        <v>1051</v>
      </c>
      <c r="AE29" s="522">
        <v>612</v>
      </c>
      <c r="AF29" s="522">
        <v>753</v>
      </c>
      <c r="AG29" s="522">
        <v>1479</v>
      </c>
      <c r="AH29" s="522">
        <v>3895</v>
      </c>
      <c r="AI29" s="426"/>
      <c r="AJ29" s="522">
        <v>580</v>
      </c>
      <c r="AK29" s="522">
        <v>433</v>
      </c>
      <c r="AL29" s="522">
        <v>625</v>
      </c>
      <c r="AM29" s="522">
        <v>1208</v>
      </c>
      <c r="AN29" s="522">
        <v>2846</v>
      </c>
      <c r="AO29" s="426"/>
      <c r="AP29" s="522">
        <v>741</v>
      </c>
      <c r="AQ29" s="522">
        <v>564</v>
      </c>
      <c r="AR29" s="522">
        <v>958</v>
      </c>
      <c r="AS29" s="522">
        <v>893</v>
      </c>
      <c r="AT29" s="522">
        <v>3156</v>
      </c>
      <c r="AU29" s="150"/>
    </row>
    <row r="30" spans="1:47" s="1" customFormat="1" ht="15" customHeight="1" x14ac:dyDescent="0.2">
      <c r="A30" s="207" t="str">
        <f>IF(Contents!$A$1=2,"Total capital expenditures","Итого капитальные затраты")</f>
        <v>Итого капитальные затраты</v>
      </c>
      <c r="B30" s="315" t="str">
        <f>IF(Contents!$A$1=2,"mln RUB","млн руб.")</f>
        <v>млн руб.</v>
      </c>
      <c r="C30" s="112"/>
      <c r="D30" s="462">
        <v>611106</v>
      </c>
      <c r="E30" s="467"/>
      <c r="F30" s="462">
        <v>154071</v>
      </c>
      <c r="G30" s="462">
        <v>150773</v>
      </c>
      <c r="H30" s="462">
        <v>142662</v>
      </c>
      <c r="I30" s="462">
        <v>159699</v>
      </c>
      <c r="J30" s="462">
        <v>607205</v>
      </c>
      <c r="K30" s="467"/>
      <c r="L30" s="462">
        <v>125807</v>
      </c>
      <c r="M30" s="462">
        <v>122857</v>
      </c>
      <c r="N30" s="462">
        <v>108728</v>
      </c>
      <c r="O30" s="462">
        <v>139738</v>
      </c>
      <c r="P30" s="462">
        <v>497130</v>
      </c>
      <c r="Q30" s="426"/>
      <c r="R30" s="462">
        <v>130228</v>
      </c>
      <c r="S30" s="462">
        <v>124640</v>
      </c>
      <c r="T30" s="462">
        <v>118902</v>
      </c>
      <c r="U30" s="462">
        <v>137726</v>
      </c>
      <c r="V30" s="462">
        <v>511496</v>
      </c>
      <c r="W30" s="426"/>
      <c r="X30" s="462">
        <v>121057</v>
      </c>
      <c r="Y30" s="462">
        <v>105777</v>
      </c>
      <c r="Z30" s="462">
        <v>111426</v>
      </c>
      <c r="AA30" s="462">
        <v>113266</v>
      </c>
      <c r="AB30" s="462">
        <v>451526</v>
      </c>
      <c r="AC30" s="426"/>
      <c r="AD30" s="462">
        <v>97421</v>
      </c>
      <c r="AE30" s="462">
        <v>107555</v>
      </c>
      <c r="AF30" s="462">
        <v>109062</v>
      </c>
      <c r="AG30" s="462">
        <v>135937</v>
      </c>
      <c r="AH30" s="462">
        <v>449975</v>
      </c>
      <c r="AI30" s="426"/>
      <c r="AJ30" s="462">
        <v>130211</v>
      </c>
      <c r="AK30" s="462">
        <v>117245</v>
      </c>
      <c r="AL30" s="462">
        <v>112826</v>
      </c>
      <c r="AM30" s="462">
        <v>135161</v>
      </c>
      <c r="AN30" s="462">
        <v>495443</v>
      </c>
      <c r="AO30" s="426"/>
      <c r="AP30" s="462">
        <v>107220</v>
      </c>
      <c r="AQ30" s="462">
        <v>104213</v>
      </c>
      <c r="AR30" s="462">
        <v>94328</v>
      </c>
      <c r="AS30" s="462">
        <v>127281</v>
      </c>
      <c r="AT30" s="462">
        <v>433042</v>
      </c>
      <c r="AU30" s="150"/>
    </row>
    <row r="31" spans="1:47" s="1" customFormat="1" ht="15" customHeight="1" x14ac:dyDescent="0.2">
      <c r="A31" s="155" t="str">
        <f>IF(Contents!$A$1=2,"Upstream &amp; Downstream in Russia ","Семент «Разведка и добыча» и «Переработка, торговля и сбыт» в России")</f>
        <v>Семент «Разведка и добыча» и «Переработка, торговля и сбыт» в России</v>
      </c>
      <c r="B31" s="275" t="str">
        <f>IF(Contents!$A$1=2,"mln RUB","млн руб.")</f>
        <v>млн руб.</v>
      </c>
      <c r="C31" s="112"/>
      <c r="D31" s="467">
        <v>433367</v>
      </c>
      <c r="E31" s="467"/>
      <c r="F31" s="467">
        <v>95220</v>
      </c>
      <c r="G31" s="467">
        <v>92438</v>
      </c>
      <c r="H31" s="467">
        <v>85757</v>
      </c>
      <c r="I31" s="467">
        <v>102713</v>
      </c>
      <c r="J31" s="467">
        <v>376128</v>
      </c>
      <c r="K31" s="467"/>
      <c r="L31" s="467">
        <v>89846</v>
      </c>
      <c r="M31" s="467">
        <v>85010</v>
      </c>
      <c r="N31" s="467">
        <v>79298</v>
      </c>
      <c r="O31" s="467">
        <v>81199</v>
      </c>
      <c r="P31" s="467">
        <v>335353</v>
      </c>
      <c r="Q31" s="467"/>
      <c r="R31" s="467">
        <v>86440</v>
      </c>
      <c r="S31" s="467">
        <v>88335</v>
      </c>
      <c r="T31" s="467">
        <v>85577</v>
      </c>
      <c r="U31" s="467">
        <v>105415</v>
      </c>
      <c r="V31" s="467">
        <v>365767</v>
      </c>
      <c r="W31" s="467"/>
      <c r="X31" s="467">
        <v>95296</v>
      </c>
      <c r="Y31" s="467">
        <v>82677</v>
      </c>
      <c r="Z31" s="467">
        <v>92363</v>
      </c>
      <c r="AA31" s="467">
        <v>94094</v>
      </c>
      <c r="AB31" s="467">
        <v>364430</v>
      </c>
      <c r="AC31" s="467"/>
      <c r="AD31" s="467">
        <v>76322</v>
      </c>
      <c r="AE31" s="467">
        <v>87126</v>
      </c>
      <c r="AF31" s="467">
        <v>91711</v>
      </c>
      <c r="AG31" s="467">
        <v>107474</v>
      </c>
      <c r="AH31" s="467">
        <v>362633</v>
      </c>
      <c r="AI31" s="467"/>
      <c r="AJ31" s="467">
        <v>105342</v>
      </c>
      <c r="AK31" s="467">
        <v>98545</v>
      </c>
      <c r="AL31" s="467">
        <v>97533</v>
      </c>
      <c r="AM31" s="467">
        <v>114358</v>
      </c>
      <c r="AN31" s="467">
        <v>415778</v>
      </c>
      <c r="AO31" s="467"/>
      <c r="AP31" s="467">
        <v>77697</v>
      </c>
      <c r="AQ31" s="467">
        <v>81832</v>
      </c>
      <c r="AR31" s="467">
        <v>77943</v>
      </c>
      <c r="AS31" s="467">
        <v>96152</v>
      </c>
      <c r="AT31" s="467">
        <v>333624</v>
      </c>
      <c r="AU31" s="190"/>
    </row>
    <row r="32" spans="1:47" s="1" customFormat="1" ht="15" customHeight="1" x14ac:dyDescent="0.2">
      <c r="A32" s="155" t="str">
        <f>IF(Contents!$A$1=2,"Upstream &amp; Downstream outside Russia ","Семент «Разведка и добыча» и «Переработка, торговля и сбыт» за рубежом")</f>
        <v>Семент «Разведка и добыча» и «Переработка, торговля и сбыт» за рубежом</v>
      </c>
      <c r="B32" s="275" t="str">
        <f>IF(Contents!$A$1=2,"mln RUB","млн руб.")</f>
        <v>млн руб.</v>
      </c>
      <c r="C32" s="112"/>
      <c r="D32" s="467">
        <v>171260</v>
      </c>
      <c r="E32" s="467"/>
      <c r="F32" s="467">
        <v>57430</v>
      </c>
      <c r="G32" s="467">
        <v>57016</v>
      </c>
      <c r="H32" s="467">
        <v>55146</v>
      </c>
      <c r="I32" s="467">
        <v>51570</v>
      </c>
      <c r="J32" s="467">
        <v>221162</v>
      </c>
      <c r="K32" s="467"/>
      <c r="L32" s="467">
        <v>35618</v>
      </c>
      <c r="M32" s="467">
        <v>37037</v>
      </c>
      <c r="N32" s="467">
        <v>29351</v>
      </c>
      <c r="O32" s="467">
        <v>58227</v>
      </c>
      <c r="P32" s="467">
        <v>160233</v>
      </c>
      <c r="Q32" s="467"/>
      <c r="R32" s="467">
        <v>43339</v>
      </c>
      <c r="S32" s="467">
        <v>35989</v>
      </c>
      <c r="T32" s="467">
        <v>33138</v>
      </c>
      <c r="U32" s="467">
        <v>31828</v>
      </c>
      <c r="V32" s="467">
        <v>144294</v>
      </c>
      <c r="W32" s="467"/>
      <c r="X32" s="467">
        <v>25163</v>
      </c>
      <c r="Y32" s="467">
        <v>21978</v>
      </c>
      <c r="Z32" s="467">
        <v>18611</v>
      </c>
      <c r="AA32" s="467">
        <v>17616</v>
      </c>
      <c r="AB32" s="467">
        <v>83368</v>
      </c>
      <c r="AC32" s="467"/>
      <c r="AD32" s="467">
        <v>20048</v>
      </c>
      <c r="AE32" s="467">
        <v>19817</v>
      </c>
      <c r="AF32" s="467">
        <v>16598</v>
      </c>
      <c r="AG32" s="467">
        <v>26984</v>
      </c>
      <c r="AH32" s="467">
        <v>83447</v>
      </c>
      <c r="AI32" s="467"/>
      <c r="AJ32" s="467">
        <v>24289</v>
      </c>
      <c r="AK32" s="467">
        <v>18267</v>
      </c>
      <c r="AL32" s="467">
        <v>14668</v>
      </c>
      <c r="AM32" s="467">
        <v>19595</v>
      </c>
      <c r="AN32" s="467">
        <v>76819</v>
      </c>
      <c r="AO32" s="467"/>
      <c r="AP32" s="467">
        <v>28782</v>
      </c>
      <c r="AQ32" s="467">
        <v>21817</v>
      </c>
      <c r="AR32" s="467">
        <v>15427</v>
      </c>
      <c r="AS32" s="467">
        <v>30236</v>
      </c>
      <c r="AT32" s="467">
        <v>96262</v>
      </c>
      <c r="AU32" s="190"/>
    </row>
    <row r="33" spans="1:48" s="1" customFormat="1" ht="15" customHeight="1" x14ac:dyDescent="0.2">
      <c r="A33" s="61" t="str">
        <f>IF(Contents!$A$1=2,"¹ Before 2016 -  including non-cash transactions","¹ До 2016 года - включая неденежные операции и авансовые платежи")</f>
        <v>¹ До 2016 года - включая неденежные операции и авансовые платежи</v>
      </c>
      <c r="B33" s="275"/>
      <c r="C33" s="112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1:48" s="1" customFormat="1" ht="15" customHeight="1" x14ac:dyDescent="0.2">
      <c r="A34" s="124"/>
      <c r="B34" s="275"/>
      <c r="C34" s="112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1:48" s="1" customFormat="1" ht="15" customHeight="1" x14ac:dyDescent="0.25">
      <c r="A35" s="129" t="str">
        <f>IF(Contents!$A$1=2,"Components of Consolidated Statement of Cash Flows","Компоненты консолидированного отчета о движении денежных средств")</f>
        <v>Компоненты консолидированного отчета о движении денежных средств</v>
      </c>
      <c r="B35" s="275"/>
      <c r="C35" s="11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1:48" s="1" customFormat="1" ht="15" customHeight="1" x14ac:dyDescent="0.2">
      <c r="A36" s="44"/>
      <c r="B36" s="275"/>
      <c r="C36" s="112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1:48" s="1" customFormat="1" ht="15" customHeight="1" x14ac:dyDescent="0.2">
      <c r="A37" s="75"/>
      <c r="B37" s="313"/>
      <c r="C37" s="16"/>
      <c r="D37" s="97">
        <v>2014</v>
      </c>
      <c r="E37" s="77"/>
      <c r="F37" s="98" t="str">
        <f>IF(Contents!$A$1=2,"1Q","1 кв")</f>
        <v>1 кв</v>
      </c>
      <c r="G37" s="98" t="str">
        <f>IF(Contents!$A$1=2,"2Q","2 кв")</f>
        <v>2 кв</v>
      </c>
      <c r="H37" s="98" t="str">
        <f>IF(Contents!$A$1=2,"3Q","3 кв")</f>
        <v>3 кв</v>
      </c>
      <c r="I37" s="98" t="str">
        <f>IF(Contents!$A$1=2,"4Q","4 кв")</f>
        <v>4 кв</v>
      </c>
      <c r="J37" s="97">
        <v>2015</v>
      </c>
      <c r="K37" s="77"/>
      <c r="L37" s="98" t="str">
        <f>IF(Contents!$A$1=2,"1Q","1 кв")</f>
        <v>1 кв</v>
      </c>
      <c r="M37" s="98" t="str">
        <f>IF(Contents!$A$1=2,"2Q","2 кв")</f>
        <v>2 кв</v>
      </c>
      <c r="N37" s="98" t="str">
        <f>IF(Contents!$A$1=2,"3Q","3 кв")</f>
        <v>3 кв</v>
      </c>
      <c r="O37" s="98" t="str">
        <f>IF(Contents!$A$1=2,"4Q","4 кв")</f>
        <v>4 кв</v>
      </c>
      <c r="P37" s="97">
        <v>2016</v>
      </c>
      <c r="Q37" s="77"/>
      <c r="R37" s="98" t="str">
        <f>IF(Contents!$A$1=2,"1Q","1 кв")</f>
        <v>1 кв</v>
      </c>
      <c r="S37" s="98" t="str">
        <f>IF(Contents!$A$1=2,"2Q","2 кв")</f>
        <v>2 кв</v>
      </c>
      <c r="T37" s="98" t="str">
        <f>IF(Contents!$A$1=2,"3Q","3 кв")</f>
        <v>3 кв</v>
      </c>
      <c r="U37" s="98" t="str">
        <f>IF(Contents!$A$1=2,"4Q","4 кв")</f>
        <v>4 кв</v>
      </c>
      <c r="V37" s="149">
        <v>2017</v>
      </c>
      <c r="W37" s="351"/>
      <c r="X37" s="98" t="str">
        <f>IF(Contents!$A$1=2,"1Q","1 кв")</f>
        <v>1 кв</v>
      </c>
      <c r="Y37" s="98" t="str">
        <f>IF(Contents!$A$1=2,"2Q","2 кв")</f>
        <v>2 кв</v>
      </c>
      <c r="Z37" s="98" t="str">
        <f>IF(Contents!$A$1=2,"3Q","3 кв")</f>
        <v>3 кв</v>
      </c>
      <c r="AA37" s="98" t="str">
        <f>IF(Contents!$A$1=2,"4Q","4 кв")</f>
        <v>4 кв</v>
      </c>
      <c r="AB37" s="149">
        <v>2018</v>
      </c>
      <c r="AC37" s="351"/>
      <c r="AD37" s="98" t="str">
        <f>IF(Contents!$A$1=2,"1Q","1 кв")</f>
        <v>1 кв</v>
      </c>
      <c r="AE37" s="98" t="str">
        <f>IF(Contents!$A$1=2,"2Q","2 кв")</f>
        <v>2 кв</v>
      </c>
      <c r="AF37" s="98" t="str">
        <f>IF(Contents!$A$1=2,"3Q","3 кв")</f>
        <v>3 кв</v>
      </c>
      <c r="AG37" s="98" t="str">
        <f>IF(Contents!$A$1=2,"4Q","4 кв")</f>
        <v>4 кв</v>
      </c>
      <c r="AH37" s="149">
        <v>2019</v>
      </c>
      <c r="AI37" s="351"/>
      <c r="AJ37" s="98" t="str">
        <f>IF(Contents!$A$1=2,"1Q","1 кв")</f>
        <v>1 кв</v>
      </c>
      <c r="AK37" s="98" t="str">
        <f>IF(Contents!$A$1=2,"2Q","2 кв")</f>
        <v>2 кв</v>
      </c>
      <c r="AL37" s="98" t="str">
        <f>IF(Contents!$A$1=2,"3Q","3 кв")</f>
        <v>3 кв</v>
      </c>
      <c r="AM37" s="98" t="str">
        <f>IF(Contents!$A$1=2,"4Q","4 кв")</f>
        <v>4 кв</v>
      </c>
      <c r="AN37" s="149">
        <v>2020</v>
      </c>
      <c r="AO37" s="351"/>
      <c r="AP37" s="325" t="str">
        <f>IF(Contents!$A$1=2,"1Q","1 кв")</f>
        <v>1 кв</v>
      </c>
      <c r="AQ37" s="325" t="str">
        <f>IF(Contents!$A$1=2,"2Q","2 кв")</f>
        <v>2 кв</v>
      </c>
      <c r="AR37" s="325" t="str">
        <f>IF(Contents!$A$1=2,"3Q","3 кв")</f>
        <v>3 кв</v>
      </c>
      <c r="AS37" s="325" t="str">
        <f>IF(Contents!$A$1=2,"4Q","4 кв")</f>
        <v>4 кв</v>
      </c>
      <c r="AT37" s="326">
        <v>2021</v>
      </c>
      <c r="AU37" s="351"/>
    </row>
    <row r="38" spans="1:48" s="1" customFormat="1" ht="15" customHeight="1" x14ac:dyDescent="0.2">
      <c r="A38" s="126" t="str">
        <f>IF(Contents!$A$1=2,"Acquisition of licenses","Приобретение лицензий")</f>
        <v>Приобретение лицензий</v>
      </c>
      <c r="B38" s="316" t="str">
        <f>IF(Contents!$A$1=2,"mln RUB","млн руб.")</f>
        <v>млн руб.</v>
      </c>
      <c r="C38" s="127"/>
      <c r="D38" s="526">
        <v>3535</v>
      </c>
      <c r="E38" s="527"/>
      <c r="F38" s="526">
        <v>83</v>
      </c>
      <c r="G38" s="526">
        <v>288</v>
      </c>
      <c r="H38" s="417">
        <v>131</v>
      </c>
      <c r="I38" s="417">
        <v>184</v>
      </c>
      <c r="J38" s="526">
        <v>686</v>
      </c>
      <c r="K38" s="527"/>
      <c r="L38" s="526">
        <v>2174</v>
      </c>
      <c r="M38" s="526">
        <v>234</v>
      </c>
      <c r="N38" s="526">
        <v>148</v>
      </c>
      <c r="O38" s="527">
        <v>-7</v>
      </c>
      <c r="P38" s="526">
        <v>2549</v>
      </c>
      <c r="Q38" s="528"/>
      <c r="R38" s="526">
        <v>3</v>
      </c>
      <c r="S38" s="526">
        <v>51</v>
      </c>
      <c r="T38" s="526">
        <v>69</v>
      </c>
      <c r="U38" s="526">
        <v>489</v>
      </c>
      <c r="V38" s="526">
        <v>612</v>
      </c>
      <c r="W38" s="528"/>
      <c r="X38" s="526">
        <v>-29</v>
      </c>
      <c r="Y38" s="526">
        <v>-217</v>
      </c>
      <c r="Z38" s="526">
        <v>-52</v>
      </c>
      <c r="AA38" s="526">
        <v>145</v>
      </c>
      <c r="AB38" s="526">
        <v>-153</v>
      </c>
      <c r="AC38" s="528"/>
      <c r="AD38" s="526">
        <v>-1524</v>
      </c>
      <c r="AE38" s="526">
        <v>-752</v>
      </c>
      <c r="AF38" s="526">
        <v>-58</v>
      </c>
      <c r="AG38" s="526">
        <v>-6591</v>
      </c>
      <c r="AH38" s="526">
        <v>-8925</v>
      </c>
      <c r="AI38" s="528"/>
      <c r="AJ38" s="526">
        <v>-129</v>
      </c>
      <c r="AK38" s="526">
        <v>0</v>
      </c>
      <c r="AL38" s="526">
        <v>-2</v>
      </c>
      <c r="AM38" s="526">
        <v>-104</v>
      </c>
      <c r="AN38" s="526">
        <v>-235</v>
      </c>
      <c r="AO38" s="528"/>
      <c r="AP38" s="526">
        <v>-33</v>
      </c>
      <c r="AQ38" s="417">
        <v>0</v>
      </c>
      <c r="AR38" s="417">
        <v>-188</v>
      </c>
      <c r="AS38" s="417">
        <v>-116</v>
      </c>
      <c r="AT38" s="417">
        <v>-337</v>
      </c>
      <c r="AU38" s="86"/>
      <c r="AV38" s="85"/>
    </row>
    <row r="39" spans="1:48" s="1" customFormat="1" ht="15" customHeight="1" x14ac:dyDescent="0.2">
      <c r="A39" s="130" t="str">
        <f>IF(Contents!$A$1=2,"Capital expenditures²","Капитальные затраты²")</f>
        <v>Капитальные затраты²</v>
      </c>
      <c r="B39" s="271" t="str">
        <f>IF(Contents!$A$1=2,"mln RUB","млн руб.")</f>
        <v>млн руб.</v>
      </c>
      <c r="C39" s="123"/>
      <c r="D39" s="529">
        <v>575981</v>
      </c>
      <c r="E39" s="528"/>
      <c r="F39" s="529">
        <v>162107</v>
      </c>
      <c r="G39" s="529">
        <v>140746</v>
      </c>
      <c r="H39" s="417">
        <v>143116</v>
      </c>
      <c r="I39" s="417">
        <v>154670</v>
      </c>
      <c r="J39" s="529">
        <v>600639</v>
      </c>
      <c r="K39" s="528"/>
      <c r="L39" s="529">
        <v>125807</v>
      </c>
      <c r="M39" s="529">
        <v>122857</v>
      </c>
      <c r="N39" s="417">
        <v>108728</v>
      </c>
      <c r="O39" s="529">
        <v>139738</v>
      </c>
      <c r="P39" s="529">
        <v>497130</v>
      </c>
      <c r="Q39" s="528"/>
      <c r="R39" s="529">
        <v>130228</v>
      </c>
      <c r="S39" s="529">
        <v>124640</v>
      </c>
      <c r="T39" s="529">
        <v>118902</v>
      </c>
      <c r="U39" s="529">
        <v>137726</v>
      </c>
      <c r="V39" s="529">
        <v>511496</v>
      </c>
      <c r="W39" s="528"/>
      <c r="X39" s="529">
        <v>-121057</v>
      </c>
      <c r="Y39" s="529">
        <v>-105777</v>
      </c>
      <c r="Z39" s="529">
        <v>-111426</v>
      </c>
      <c r="AA39" s="529">
        <v>-113266</v>
      </c>
      <c r="AB39" s="529">
        <v>-451526</v>
      </c>
      <c r="AC39" s="528"/>
      <c r="AD39" s="529">
        <v>-97421</v>
      </c>
      <c r="AE39" s="529">
        <v>-107555</v>
      </c>
      <c r="AF39" s="529">
        <v>-109062</v>
      </c>
      <c r="AG39" s="529">
        <v>-135937</v>
      </c>
      <c r="AH39" s="529">
        <v>-449975</v>
      </c>
      <c r="AI39" s="528"/>
      <c r="AJ39" s="529">
        <v>-130211</v>
      </c>
      <c r="AK39" s="529">
        <v>-117245</v>
      </c>
      <c r="AL39" s="529">
        <v>-112826</v>
      </c>
      <c r="AM39" s="529">
        <v>-135161</v>
      </c>
      <c r="AN39" s="529">
        <v>-495443</v>
      </c>
      <c r="AO39" s="528"/>
      <c r="AP39" s="529">
        <v>-107220</v>
      </c>
      <c r="AQ39" s="529">
        <v>-104213</v>
      </c>
      <c r="AR39" s="529">
        <v>-94328</v>
      </c>
      <c r="AS39" s="529">
        <v>-127281</v>
      </c>
      <c r="AT39" s="529">
        <v>-433042</v>
      </c>
      <c r="AU39" s="86"/>
      <c r="AV39" s="85"/>
    </row>
    <row r="40" spans="1:48" ht="15" customHeight="1" x14ac:dyDescent="0.2">
      <c r="A40" s="61" t="str">
        <f>IF(Contents!$A$1=2,"² Excluding the acquisition of licenses and non-cash transactions","² Не включая приобретение лицензий и неденежные операции")</f>
        <v>² Не включая приобретение лицензий и неденежные операции</v>
      </c>
      <c r="B40" s="61"/>
      <c r="C40" s="5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8" ht="15" customHeight="1" x14ac:dyDescent="0.2">
      <c r="A41" s="61"/>
      <c r="B41" s="61"/>
      <c r="C41" s="5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8" ht="15" customHeight="1" x14ac:dyDescent="0.2">
      <c r="A42" s="51" t="str">
        <f>IF(Contents!$A$1=2,"Contents","Содержание")</f>
        <v>Содержание</v>
      </c>
      <c r="B42" s="51"/>
    </row>
  </sheetData>
  <conditionalFormatting sqref="A1:C1 R31:W36 A2:W6 R8:W16 V24:W24 R23:U24 A25:Q25 A24:E24 Q24 L23:P24 K24 A29:Q39 B26:Q26 AV24:XFD41 AV2:XFD22 A7:Q16 X42:AB44 A17:C18 E17:E18 K17:K18 Q17:Q18 A19:W22 W17:W18 B27:E28 K27:Q28 A40:W1048576 AC42:XFD1048576">
    <cfRule type="containsText" dxfId="622" priority="471" operator="containsText" text="ложь">
      <formula>NOT(ISERROR(SEARCH("ложь",A1)))</formula>
    </cfRule>
  </conditionalFormatting>
  <conditionalFormatting sqref="AV1:XFD1">
    <cfRule type="containsText" dxfId="621" priority="468" operator="containsText" text="ложь">
      <formula>NOT(ISERROR(SEARCH("ложь",AV1)))</formula>
    </cfRule>
  </conditionalFormatting>
  <conditionalFormatting sqref="D1:Q1">
    <cfRule type="containsText" dxfId="620" priority="467" operator="containsText" text="ложь">
      <formula>NOT(ISERROR(SEARCH("ложь",D1)))</formula>
    </cfRule>
  </conditionalFormatting>
  <conditionalFormatting sqref="D1:Q1">
    <cfRule type="containsText" dxfId="619" priority="466" operator="containsText" text="ложь">
      <formula>NOT(ISERROR(SEARCH("ложь",D1)))</formula>
    </cfRule>
  </conditionalFormatting>
  <conditionalFormatting sqref="D1:Q1">
    <cfRule type="containsText" dxfId="618" priority="465" operator="containsText" text="ложь">
      <formula>NOT(ISERROR(SEARCH("ложь",D1)))</formula>
    </cfRule>
  </conditionalFormatting>
  <conditionalFormatting sqref="D1:Q1">
    <cfRule type="containsText" dxfId="617" priority="464" operator="containsText" text="ложь">
      <formula>NOT(ISERROR(SEARCH("ложь",D1)))</formula>
    </cfRule>
  </conditionalFormatting>
  <conditionalFormatting sqref="R7:W7">
    <cfRule type="containsText" dxfId="616" priority="457" operator="containsText" text="ложь">
      <formula>NOT(ISERROR(SEARCH("ложь",R7)))</formula>
    </cfRule>
  </conditionalFormatting>
  <conditionalFormatting sqref="W1">
    <cfRule type="containsText" dxfId="615" priority="456" operator="containsText" text="ложь">
      <formula>NOT(ISERROR(SEARCH("ложь",W1)))</formula>
    </cfRule>
  </conditionalFormatting>
  <conditionalFormatting sqref="W1">
    <cfRule type="containsText" dxfId="614" priority="455" operator="containsText" text="ложь">
      <formula>NOT(ISERROR(SEARCH("ложь",W1)))</formula>
    </cfRule>
  </conditionalFormatting>
  <conditionalFormatting sqref="W1">
    <cfRule type="containsText" dxfId="613" priority="454" operator="containsText" text="ложь">
      <formula>NOT(ISERROR(SEARCH("ложь",W1)))</formula>
    </cfRule>
  </conditionalFormatting>
  <conditionalFormatting sqref="R38:W39 R25:W29">
    <cfRule type="containsText" dxfId="612" priority="453" operator="containsText" text="ложь">
      <formula>NOT(ISERROR(SEARCH("ложь",R25)))</formula>
    </cfRule>
  </conditionalFormatting>
  <conditionalFormatting sqref="R37:W37">
    <cfRule type="containsText" dxfId="611" priority="451" operator="containsText" text="ложь">
      <formula>NOT(ISERROR(SEARCH("ложь",R37)))</formula>
    </cfRule>
  </conditionalFormatting>
  <conditionalFormatting sqref="R30:W30">
    <cfRule type="containsText" dxfId="610" priority="450" operator="containsText" text="ложь">
      <formula>NOT(ISERROR(SEARCH("ложь",R30)))</formula>
    </cfRule>
  </conditionalFormatting>
  <conditionalFormatting sqref="X2:AB6 X33:AB36 X40:AB41 AT33:AU36 AT2:AU2 X45:AB1048576 AT40:AU41 AT4:AU6 AU3">
    <cfRule type="containsText" dxfId="609" priority="441" operator="containsText" text="ложь">
      <formula>NOT(ISERROR(SEARCH("ложь",X2)))</formula>
    </cfRule>
  </conditionalFormatting>
  <conditionalFormatting sqref="X7:AB7 AU7">
    <cfRule type="containsText" dxfId="608" priority="440" operator="containsText" text="ложь">
      <formula>NOT(ISERROR(SEARCH("ложь",X7)))</formula>
    </cfRule>
  </conditionalFormatting>
  <conditionalFormatting sqref="AU1">
    <cfRule type="containsText" dxfId="607" priority="439" operator="containsText" text="ложь">
      <formula>NOT(ISERROR(SEARCH("ложь",AU1)))</formula>
    </cfRule>
  </conditionalFormatting>
  <conditionalFormatting sqref="AU1">
    <cfRule type="containsText" dxfId="606" priority="438" operator="containsText" text="ложь">
      <formula>NOT(ISERROR(SEARCH("ложь",AU1)))</formula>
    </cfRule>
  </conditionalFormatting>
  <conditionalFormatting sqref="AU1">
    <cfRule type="containsText" dxfId="605" priority="437" operator="containsText" text="ложь">
      <formula>NOT(ISERROR(SEARCH("ложь",AU1)))</formula>
    </cfRule>
  </conditionalFormatting>
  <conditionalFormatting sqref="X8:X16 X38:AB39 X25:X29 AU38:AU39 X19:X22">
    <cfRule type="containsText" dxfId="604" priority="436" operator="containsText" text="ложь">
      <formula>NOT(ISERROR(SEARCH("ложь",X8)))</formula>
    </cfRule>
  </conditionalFormatting>
  <conditionalFormatting sqref="X37:AB37 AU37">
    <cfRule type="containsText" dxfId="603" priority="435" operator="containsText" text="ложь">
      <formula>NOT(ISERROR(SEARCH("ложь",X37)))</formula>
    </cfRule>
  </conditionalFormatting>
  <conditionalFormatting sqref="X30">
    <cfRule type="containsText" dxfId="602" priority="434" operator="containsText" text="ложь">
      <formula>NOT(ISERROR(SEARCH("ложь",X30)))</formula>
    </cfRule>
  </conditionalFormatting>
  <conditionalFormatting sqref="X31:X32">
    <cfRule type="containsText" dxfId="601" priority="433" operator="containsText" text="ложь">
      <formula>NOT(ISERROR(SEARCH("ложь",X31)))</formula>
    </cfRule>
  </conditionalFormatting>
  <conditionalFormatting sqref="Y31:Y32">
    <cfRule type="containsText" dxfId="600" priority="428" operator="containsText" text="ложь">
      <formula>NOT(ISERROR(SEARCH("ложь",Y31)))</formula>
    </cfRule>
  </conditionalFormatting>
  <conditionalFormatting sqref="Y8:Y16 Y25:Y29 Y19:Y22">
    <cfRule type="containsText" dxfId="599" priority="430" operator="containsText" text="ложь">
      <formula>NOT(ISERROR(SEARCH("ложь",Y8)))</formula>
    </cfRule>
  </conditionalFormatting>
  <conditionalFormatting sqref="Y30">
    <cfRule type="containsText" dxfId="598" priority="429" operator="containsText" text="ложь">
      <formula>NOT(ISERROR(SEARCH("ложь",Y30)))</formula>
    </cfRule>
  </conditionalFormatting>
  <conditionalFormatting sqref="Z8:AB16 Z25:AB29 AU25:AU29 AU8:AU22 Z19:AB22">
    <cfRule type="containsText" dxfId="597" priority="425" operator="containsText" text="ложь">
      <formula>NOT(ISERROR(SEARCH("ложь",Z8)))</formula>
    </cfRule>
  </conditionalFormatting>
  <conditionalFormatting sqref="Z30:AB30 AU30">
    <cfRule type="containsText" dxfId="596" priority="424" operator="containsText" text="ложь">
      <formula>NOT(ISERROR(SEARCH("ложь",Z30)))</formula>
    </cfRule>
  </conditionalFormatting>
  <conditionalFormatting sqref="Z31:AB32 AU31:AU32">
    <cfRule type="containsText" dxfId="595" priority="423" operator="containsText" text="ложь">
      <formula>NOT(ISERROR(SEARCH("ложь",Z31)))</formula>
    </cfRule>
  </conditionalFormatting>
  <conditionalFormatting sqref="B23">
    <cfRule type="containsText" dxfId="594" priority="389" operator="containsText" text="ложь">
      <formula>NOT(ISERROR(SEARCH("ложь",B23)))</formula>
    </cfRule>
  </conditionalFormatting>
  <conditionalFormatting sqref="AB23 AU23">
    <cfRule type="containsText" dxfId="593" priority="388" operator="containsText" text="ложь">
      <formula>NOT(ISERROR(SEARCH("ложь",AB23)))</formula>
    </cfRule>
  </conditionalFormatting>
  <conditionalFormatting sqref="A23">
    <cfRule type="containsText" dxfId="592" priority="390" operator="containsText" text="ложь">
      <formula>NOT(ISERROR(SEARCH("ложь",A23)))</formula>
    </cfRule>
  </conditionalFormatting>
  <conditionalFormatting sqref="AB24 AU24">
    <cfRule type="containsText" dxfId="591" priority="387" operator="containsText" text="ложь">
      <formula>NOT(ISERROR(SEARCH("ложь",AB24)))</formula>
    </cfRule>
  </conditionalFormatting>
  <conditionalFormatting sqref="AA23">
    <cfRule type="containsText" dxfId="590" priority="386" operator="containsText" text="ложь">
      <formula>NOT(ISERROR(SEARCH("ложь",AA23)))</formula>
    </cfRule>
  </conditionalFormatting>
  <conditionalFormatting sqref="AA24">
    <cfRule type="containsText" dxfId="589" priority="385" operator="containsText" text="ложь">
      <formula>NOT(ISERROR(SEARCH("ложь",AA24)))</formula>
    </cfRule>
  </conditionalFormatting>
  <conditionalFormatting sqref="Z23">
    <cfRule type="containsText" dxfId="588" priority="384" operator="containsText" text="ложь">
      <formula>NOT(ISERROR(SEARCH("ложь",Z23)))</formula>
    </cfRule>
  </conditionalFormatting>
  <conditionalFormatting sqref="Z24">
    <cfRule type="containsText" dxfId="587" priority="383" operator="containsText" text="ложь">
      <formula>NOT(ISERROR(SEARCH("ложь",Z24)))</formula>
    </cfRule>
  </conditionalFormatting>
  <conditionalFormatting sqref="Y23">
    <cfRule type="containsText" dxfId="586" priority="382" operator="containsText" text="ложь">
      <formula>NOT(ISERROR(SEARCH("ложь",Y23)))</formula>
    </cfRule>
  </conditionalFormatting>
  <conditionalFormatting sqref="Y24">
    <cfRule type="containsText" dxfId="585" priority="381" operator="containsText" text="ложь">
      <formula>NOT(ISERROR(SEARCH("ложь",Y24)))</formula>
    </cfRule>
  </conditionalFormatting>
  <conditionalFormatting sqref="X23">
    <cfRule type="containsText" dxfId="584" priority="380" operator="containsText" text="ложь">
      <formula>NOT(ISERROR(SEARCH("ложь",X23)))</formula>
    </cfRule>
  </conditionalFormatting>
  <conditionalFormatting sqref="X24">
    <cfRule type="containsText" dxfId="583" priority="379" operator="containsText" text="ложь">
      <formula>NOT(ISERROR(SEARCH("ложь",X24)))</formula>
    </cfRule>
  </conditionalFormatting>
  <conditionalFormatting sqref="V23">
    <cfRule type="containsText" dxfId="582" priority="378" operator="containsText" text="ложь">
      <formula>NOT(ISERROR(SEARCH("ложь",V23)))</formula>
    </cfRule>
  </conditionalFormatting>
  <conditionalFormatting sqref="A26 A28">
    <cfRule type="containsText" dxfId="581" priority="377" operator="containsText" text="ложь">
      <formula>NOT(ISERROR(SEARCH("ложь",A26)))</formula>
    </cfRule>
  </conditionalFormatting>
  <conditionalFormatting sqref="A27">
    <cfRule type="containsText" dxfId="580" priority="376" operator="containsText" text="ложь">
      <formula>NOT(ISERROR(SEARCH("ложь",A27)))</formula>
    </cfRule>
  </conditionalFormatting>
  <conditionalFormatting sqref="AC31:AC36 AC2:AC6 AC8:AC22 AC24 AC40:AC41">
    <cfRule type="containsText" dxfId="579" priority="372" operator="containsText" text="ложь">
      <formula>NOT(ISERROR(SEARCH("ложь",AC2)))</formula>
    </cfRule>
  </conditionalFormatting>
  <conditionalFormatting sqref="AC7">
    <cfRule type="containsText" dxfId="578" priority="371" operator="containsText" text="ложь">
      <formula>NOT(ISERROR(SEARCH("ложь",AC7)))</formula>
    </cfRule>
  </conditionalFormatting>
  <conditionalFormatting sqref="AC1">
    <cfRule type="containsText" dxfId="577" priority="370" operator="containsText" text="ложь">
      <formula>NOT(ISERROR(SEARCH("ложь",AC1)))</formula>
    </cfRule>
  </conditionalFormatting>
  <conditionalFormatting sqref="AC1">
    <cfRule type="containsText" dxfId="576" priority="369" operator="containsText" text="ложь">
      <formula>NOT(ISERROR(SEARCH("ложь",AC1)))</formula>
    </cfRule>
  </conditionalFormatting>
  <conditionalFormatting sqref="AC1">
    <cfRule type="containsText" dxfId="575" priority="368" operator="containsText" text="ложь">
      <formula>NOT(ISERROR(SEARCH("ложь",AC1)))</formula>
    </cfRule>
  </conditionalFormatting>
  <conditionalFormatting sqref="AC38:AC39 AC25:AC29">
    <cfRule type="containsText" dxfId="574" priority="367" operator="containsText" text="ложь">
      <formula>NOT(ISERROR(SEARCH("ложь",AC25)))</formula>
    </cfRule>
  </conditionalFormatting>
  <conditionalFormatting sqref="AC37">
    <cfRule type="containsText" dxfId="573" priority="366" operator="containsText" text="ложь">
      <formula>NOT(ISERROR(SEARCH("ложь",AC37)))</formula>
    </cfRule>
  </conditionalFormatting>
  <conditionalFormatting sqref="AC30">
    <cfRule type="containsText" dxfId="572" priority="365" operator="containsText" text="ложь">
      <formula>NOT(ISERROR(SEARCH("ложь",AC30)))</formula>
    </cfRule>
  </conditionalFormatting>
  <conditionalFormatting sqref="AD33:AI36 AD2:AS2 AD40:AS41 AD4:AS6 AD3:AT3">
    <cfRule type="containsText" dxfId="571" priority="364" operator="containsText" text="ложь">
      <formula>NOT(ISERROR(SEARCH("ложь",AD2)))</formula>
    </cfRule>
  </conditionalFormatting>
  <conditionalFormatting sqref="AD7:AO7">
    <cfRule type="containsText" dxfId="570" priority="363" operator="containsText" text="ложь">
      <formula>NOT(ISERROR(SEARCH("ложь",AD7)))</formula>
    </cfRule>
  </conditionalFormatting>
  <conditionalFormatting sqref="AI1:AO1">
    <cfRule type="containsText" dxfId="569" priority="362" operator="containsText" text="ложь">
      <formula>NOT(ISERROR(SEARCH("ложь",AI1)))</formula>
    </cfRule>
  </conditionalFormatting>
  <conditionalFormatting sqref="AI1:AO1">
    <cfRule type="containsText" dxfId="568" priority="361" operator="containsText" text="ложь">
      <formula>NOT(ISERROR(SEARCH("ложь",AI1)))</formula>
    </cfRule>
  </conditionalFormatting>
  <conditionalFormatting sqref="AI1:AO1">
    <cfRule type="containsText" dxfId="567" priority="360" operator="containsText" text="ложь">
      <formula>NOT(ISERROR(SEARCH("ложь",AI1)))</formula>
    </cfRule>
  </conditionalFormatting>
  <conditionalFormatting sqref="AD37:AI37">
    <cfRule type="containsText" dxfId="566" priority="358" operator="containsText" text="ложь">
      <formula>NOT(ISERROR(SEARCH("ложь",AD37)))</formula>
    </cfRule>
  </conditionalFormatting>
  <conditionalFormatting sqref="AD25:AI29 AD8:AI16 AD19:AI22 AI17:AI18">
    <cfRule type="containsText" dxfId="565" priority="339" operator="containsText" text="ложь">
      <formula>NOT(ISERROR(SEARCH("ложь",AD8)))</formula>
    </cfRule>
  </conditionalFormatting>
  <conditionalFormatting sqref="AD30:AI30">
    <cfRule type="containsText" dxfId="564" priority="338" operator="containsText" text="ложь">
      <formula>NOT(ISERROR(SEARCH("ложь",AD30)))</formula>
    </cfRule>
  </conditionalFormatting>
  <conditionalFormatting sqref="AD31:AI32">
    <cfRule type="containsText" dxfId="563" priority="337" operator="containsText" text="ложь">
      <formula>NOT(ISERROR(SEARCH("ложь",AD31)))</formula>
    </cfRule>
  </conditionalFormatting>
  <conditionalFormatting sqref="AD23:AI23">
    <cfRule type="containsText" dxfId="562" priority="336" operator="containsText" text="ложь">
      <formula>NOT(ISERROR(SEARCH("ложь",AD23)))</formula>
    </cfRule>
  </conditionalFormatting>
  <conditionalFormatting sqref="AD24:AI24">
    <cfRule type="containsText" dxfId="561" priority="335" operator="containsText" text="ложь">
      <formula>NOT(ISERROR(SEARCH("ложь",AD24)))</formula>
    </cfRule>
  </conditionalFormatting>
  <conditionalFormatting sqref="AD38:AF39 AF38:AI38 AG39:AI39">
    <cfRule type="containsText" dxfId="560" priority="334" operator="containsText" text="ложь">
      <formula>NOT(ISERROR(SEARCH("ложь",AD38)))</formula>
    </cfRule>
  </conditionalFormatting>
  <conditionalFormatting sqref="AJ33:AS36">
    <cfRule type="containsText" dxfId="559" priority="306" operator="containsText" text="ложь">
      <formula>NOT(ISERROR(SEARCH("ложь",AJ33)))</formula>
    </cfRule>
  </conditionalFormatting>
  <conditionalFormatting sqref="AJ37:AO37">
    <cfRule type="containsText" dxfId="558" priority="305" operator="containsText" text="ложь">
      <formula>NOT(ISERROR(SEARCH("ложь",AJ37)))</formula>
    </cfRule>
  </conditionalFormatting>
  <conditionalFormatting sqref="AJ25:AJ29 AJ8:AJ16 AJ18:AJ22">
    <cfRule type="containsText" dxfId="557" priority="304" operator="containsText" text="ложь">
      <formula>NOT(ISERROR(SEARCH("ложь",AJ8)))</formula>
    </cfRule>
  </conditionalFormatting>
  <conditionalFormatting sqref="AJ30">
    <cfRule type="containsText" dxfId="556" priority="303" operator="containsText" text="ложь">
      <formula>NOT(ISERROR(SEARCH("ложь",AJ30)))</formula>
    </cfRule>
  </conditionalFormatting>
  <conditionalFormatting sqref="AJ31:AJ32">
    <cfRule type="containsText" dxfId="555" priority="302" operator="containsText" text="ложь">
      <formula>NOT(ISERROR(SEARCH("ложь",AJ31)))</formula>
    </cfRule>
  </conditionalFormatting>
  <conditionalFormatting sqref="AJ23">
    <cfRule type="containsText" dxfId="554" priority="301" operator="containsText" text="ложь">
      <formula>NOT(ISERROR(SEARCH("ложь",AJ23)))</formula>
    </cfRule>
  </conditionalFormatting>
  <conditionalFormatting sqref="AJ24">
    <cfRule type="containsText" dxfId="553" priority="300" operator="containsText" text="ложь">
      <formula>NOT(ISERROR(SEARCH("ложь",AJ24)))</formula>
    </cfRule>
  </conditionalFormatting>
  <conditionalFormatting sqref="AJ38:AO39">
    <cfRule type="containsText" dxfId="552" priority="299" operator="containsText" text="ложь">
      <formula>NOT(ISERROR(SEARCH("ложь",AJ38)))</formula>
    </cfRule>
  </conditionalFormatting>
  <conditionalFormatting sqref="AK25:AO29 AK8:AO16 AK18:AO22 AM17:AO17">
    <cfRule type="containsText" dxfId="551" priority="143" operator="containsText" text="ложь">
      <formula>NOT(ISERROR(SEARCH("ложь",AK8)))</formula>
    </cfRule>
  </conditionalFormatting>
  <conditionalFormatting sqref="AK30:AO30">
    <cfRule type="containsText" dxfId="550" priority="142" operator="containsText" text="ложь">
      <formula>NOT(ISERROR(SEARCH("ложь",AK30)))</formula>
    </cfRule>
  </conditionalFormatting>
  <conditionalFormatting sqref="AK31:AO32">
    <cfRule type="containsText" dxfId="549" priority="141" operator="containsText" text="ложь">
      <formula>NOT(ISERROR(SEARCH("ложь",AK31)))</formula>
    </cfRule>
  </conditionalFormatting>
  <conditionalFormatting sqref="AK23:AO23">
    <cfRule type="containsText" dxfId="548" priority="140" operator="containsText" text="ложь">
      <formula>NOT(ISERROR(SEARCH("ложь",AK23)))</formula>
    </cfRule>
  </conditionalFormatting>
  <conditionalFormatting sqref="AK24:AO24">
    <cfRule type="containsText" dxfId="547" priority="139" operator="containsText" text="ложь">
      <formula>NOT(ISERROR(SEARCH("ложь",AK24)))</formula>
    </cfRule>
  </conditionalFormatting>
  <conditionalFormatting sqref="AP7:AT7">
    <cfRule type="containsText" dxfId="546" priority="94" operator="containsText" text="ложь">
      <formula>NOT(ISERROR(SEARCH("ложь",AP7)))</formula>
    </cfRule>
  </conditionalFormatting>
  <conditionalFormatting sqref="AP1:AT1">
    <cfRule type="containsText" dxfId="545" priority="93" operator="containsText" text="ложь">
      <formula>NOT(ISERROR(SEARCH("ложь",AP1)))</formula>
    </cfRule>
  </conditionalFormatting>
  <conditionalFormatting sqref="AP25:AQ29 AP8:AQ16 AP19:AQ22">
    <cfRule type="containsText" dxfId="544" priority="67" operator="containsText" text="ложь">
      <formula>NOT(ISERROR(SEARCH("ложь",AP8)))</formula>
    </cfRule>
  </conditionalFormatting>
  <conditionalFormatting sqref="AP37:AT37">
    <cfRule type="containsText" dxfId="543" priority="69" operator="containsText" text="ложь">
      <formula>NOT(ISERROR(SEARCH("ложь",AP37)))</formula>
    </cfRule>
  </conditionalFormatting>
  <conditionalFormatting sqref="AP30:AQ30">
    <cfRule type="containsText" dxfId="542" priority="66" operator="containsText" text="ложь">
      <formula>NOT(ISERROR(SEARCH("ложь",AP30)))</formula>
    </cfRule>
  </conditionalFormatting>
  <conditionalFormatting sqref="AP31:AQ32">
    <cfRule type="containsText" dxfId="541" priority="65" operator="containsText" text="ложь">
      <formula>NOT(ISERROR(SEARCH("ложь",AP31)))</formula>
    </cfRule>
  </conditionalFormatting>
  <conditionalFormatting sqref="AP23:AQ23">
    <cfRule type="containsText" dxfId="540" priority="64" operator="containsText" text="ложь">
      <formula>NOT(ISERROR(SEARCH("ложь",AP23)))</formula>
    </cfRule>
  </conditionalFormatting>
  <conditionalFormatting sqref="AP24:AQ24">
    <cfRule type="containsText" dxfId="539" priority="63" operator="containsText" text="ложь">
      <formula>NOT(ISERROR(SEARCH("ложь",AP24)))</formula>
    </cfRule>
  </conditionalFormatting>
  <conditionalFormatting sqref="AP39:AQ39 AP38">
    <cfRule type="containsText" dxfId="538" priority="62" operator="containsText" text="ложь">
      <formula>NOT(ISERROR(SEARCH("ложь",AP38)))</formula>
    </cfRule>
  </conditionalFormatting>
  <conditionalFormatting sqref="AR25:AT29 AR8:AT16 AR19:AT22">
    <cfRule type="containsText" dxfId="537" priority="55" operator="containsText" text="ложь">
      <formula>NOT(ISERROR(SEARCH("ложь",AR8)))</formula>
    </cfRule>
  </conditionalFormatting>
  <conditionalFormatting sqref="AR30:AT30">
    <cfRule type="containsText" dxfId="536" priority="54" operator="containsText" text="ложь">
      <formula>NOT(ISERROR(SEARCH("ложь",AR30)))</formula>
    </cfRule>
  </conditionalFormatting>
  <conditionalFormatting sqref="AR31:AT32">
    <cfRule type="containsText" dxfId="535" priority="53" operator="containsText" text="ложь">
      <formula>NOT(ISERROR(SEARCH("ложь",AR31)))</formula>
    </cfRule>
  </conditionalFormatting>
  <conditionalFormatting sqref="AR23:AT23">
    <cfRule type="containsText" dxfId="534" priority="52" operator="containsText" text="ложь">
      <formula>NOT(ISERROR(SEARCH("ложь",AR23)))</formula>
    </cfRule>
  </conditionalFormatting>
  <conditionalFormatting sqref="AR24:AT24">
    <cfRule type="containsText" dxfId="533" priority="51" operator="containsText" text="ложь">
      <formula>NOT(ISERROR(SEARCH("ложь",AR24)))</formula>
    </cfRule>
  </conditionalFormatting>
  <conditionalFormatting sqref="AR39:AT39">
    <cfRule type="containsText" dxfId="532" priority="50" operator="containsText" text="ложь">
      <formula>NOT(ISERROR(SEARCH("ложь",AR39)))</formula>
    </cfRule>
  </conditionalFormatting>
  <conditionalFormatting sqref="AP17:AQ17">
    <cfRule type="containsText" dxfId="531" priority="43" operator="containsText" text="ложь">
      <formula>NOT(ISERROR(SEARCH("ложь",AP17)))</formula>
    </cfRule>
  </conditionalFormatting>
  <conditionalFormatting sqref="AR17:AT17">
    <cfRule type="containsText" dxfId="530" priority="42" operator="containsText" text="ложь">
      <formula>NOT(ISERROR(SEARCH("ложь",AR17)))</formula>
    </cfRule>
  </conditionalFormatting>
  <conditionalFormatting sqref="AP18:AQ18">
    <cfRule type="containsText" dxfId="529" priority="41" operator="containsText" text="ложь">
      <formula>NOT(ISERROR(SEARCH("ложь",AP18)))</formula>
    </cfRule>
  </conditionalFormatting>
  <conditionalFormatting sqref="AR18:AT18">
    <cfRule type="containsText" dxfId="528" priority="40" operator="containsText" text="ложь">
      <formula>NOT(ISERROR(SEARCH("ложь",AR18)))</formula>
    </cfRule>
  </conditionalFormatting>
  <conditionalFormatting sqref="AJ17:AN18">
    <cfRule type="containsText" dxfId="527" priority="39" operator="containsText" text="ложь">
      <formula>NOT(ISERROR(SEARCH("ложь",AJ17)))</formula>
    </cfRule>
  </conditionalFormatting>
  <conditionalFormatting sqref="AL17">
    <cfRule type="containsText" dxfId="526" priority="38" operator="containsText" text="ложь">
      <formula>NOT(ISERROR(SEARCH("ложь",AL17)))</formula>
    </cfRule>
  </conditionalFormatting>
  <conditionalFormatting sqref="D17">
    <cfRule type="containsText" dxfId="525" priority="34" operator="containsText" text="ложь">
      <formula>NOT(ISERROR(SEARCH("ложь",D17)))</formula>
    </cfRule>
  </conditionalFormatting>
  <conditionalFormatting sqref="D18">
    <cfRule type="containsText" dxfId="524" priority="33" operator="containsText" text="ложь">
      <formula>NOT(ISERROR(SEARCH("ложь",D18)))</formula>
    </cfRule>
  </conditionalFormatting>
  <conditionalFormatting sqref="F17">
    <cfRule type="containsText" dxfId="523" priority="32" operator="containsText" text="ложь">
      <formula>NOT(ISERROR(SEARCH("ложь",F17)))</formula>
    </cfRule>
  </conditionalFormatting>
  <conditionalFormatting sqref="F18">
    <cfRule type="containsText" dxfId="522" priority="31" operator="containsText" text="ложь">
      <formula>NOT(ISERROR(SEARCH("ложь",F18)))</formula>
    </cfRule>
  </conditionalFormatting>
  <conditionalFormatting sqref="G17:J17">
    <cfRule type="containsText" dxfId="521" priority="30" operator="containsText" text="ложь">
      <formula>NOT(ISERROR(SEARCH("ложь",G17)))</formula>
    </cfRule>
  </conditionalFormatting>
  <conditionalFormatting sqref="G18:J18">
    <cfRule type="containsText" dxfId="520" priority="29" operator="containsText" text="ложь">
      <formula>NOT(ISERROR(SEARCH("ложь",G18)))</formula>
    </cfRule>
  </conditionalFormatting>
  <conditionalFormatting sqref="R1:V1">
    <cfRule type="containsText" dxfId="519" priority="28" operator="containsText" text="ложь">
      <formula>NOT(ISERROR(SEARCH("ложь",R1)))</formula>
    </cfRule>
  </conditionalFormatting>
  <conditionalFormatting sqref="R1:V1">
    <cfRule type="containsText" dxfId="518" priority="27" operator="containsText" text="ложь">
      <formula>NOT(ISERROR(SEARCH("ложь",R1)))</formula>
    </cfRule>
  </conditionalFormatting>
  <conditionalFormatting sqref="R1:V1">
    <cfRule type="containsText" dxfId="517" priority="26" operator="containsText" text="ложь">
      <formula>NOT(ISERROR(SEARCH("ложь",R1)))</formula>
    </cfRule>
  </conditionalFormatting>
  <conditionalFormatting sqref="R1:V1">
    <cfRule type="containsText" dxfId="516" priority="25" operator="containsText" text="ложь">
      <formula>NOT(ISERROR(SEARCH("ложь",R1)))</formula>
    </cfRule>
  </conditionalFormatting>
  <conditionalFormatting sqref="X1:AB1">
    <cfRule type="containsText" dxfId="515" priority="24" operator="containsText" text="ложь">
      <formula>NOT(ISERROR(SEARCH("ложь",X1)))</formula>
    </cfRule>
  </conditionalFormatting>
  <conditionalFormatting sqref="X1:AB1">
    <cfRule type="containsText" dxfId="514" priority="23" operator="containsText" text="ложь">
      <formula>NOT(ISERROR(SEARCH("ложь",X1)))</formula>
    </cfRule>
  </conditionalFormatting>
  <conditionalFormatting sqref="X1:AB1">
    <cfRule type="containsText" dxfId="513" priority="22" operator="containsText" text="ложь">
      <formula>NOT(ISERROR(SEARCH("ложь",X1)))</formula>
    </cfRule>
  </conditionalFormatting>
  <conditionalFormatting sqref="X1:AB1">
    <cfRule type="containsText" dxfId="512" priority="21" operator="containsText" text="ложь">
      <formula>NOT(ISERROR(SEARCH("ложь",X1)))</formula>
    </cfRule>
  </conditionalFormatting>
  <conditionalFormatting sqref="AD1:AH1">
    <cfRule type="containsText" dxfId="511" priority="20" operator="containsText" text="ложь">
      <formula>NOT(ISERROR(SEARCH("ложь",AD1)))</formula>
    </cfRule>
  </conditionalFormatting>
  <conditionalFormatting sqref="AD1:AH1">
    <cfRule type="containsText" dxfId="510" priority="19" operator="containsText" text="ложь">
      <formula>NOT(ISERROR(SEARCH("ложь",AD1)))</formula>
    </cfRule>
  </conditionalFormatting>
  <conditionalFormatting sqref="AD1:AH1">
    <cfRule type="containsText" dxfId="509" priority="18" operator="containsText" text="ложь">
      <formula>NOT(ISERROR(SEARCH("ложь",AD1)))</formula>
    </cfRule>
  </conditionalFormatting>
  <conditionalFormatting sqref="AD1:AH1">
    <cfRule type="containsText" dxfId="508" priority="17" operator="containsText" text="ложь">
      <formula>NOT(ISERROR(SEARCH("ложь",AD1)))</formula>
    </cfRule>
  </conditionalFormatting>
  <conditionalFormatting sqref="L17">
    <cfRule type="containsText" dxfId="507" priority="16" operator="containsText" text="ложь">
      <formula>NOT(ISERROR(SEARCH("ложь",L17)))</formula>
    </cfRule>
  </conditionalFormatting>
  <conditionalFormatting sqref="L18">
    <cfRule type="containsText" dxfId="506" priority="15" operator="containsText" text="ложь">
      <formula>NOT(ISERROR(SEARCH("ложь",L18)))</formula>
    </cfRule>
  </conditionalFormatting>
  <conditionalFormatting sqref="M17:P17">
    <cfRule type="containsText" dxfId="505" priority="14" operator="containsText" text="ложь">
      <formula>NOT(ISERROR(SEARCH("ложь",M17)))</formula>
    </cfRule>
  </conditionalFormatting>
  <conditionalFormatting sqref="M18:P18">
    <cfRule type="containsText" dxfId="504" priority="13" operator="containsText" text="ложь">
      <formula>NOT(ISERROR(SEARCH("ложь",M18)))</formula>
    </cfRule>
  </conditionalFormatting>
  <conditionalFormatting sqref="R17">
    <cfRule type="containsText" dxfId="503" priority="12" operator="containsText" text="ложь">
      <formula>NOT(ISERROR(SEARCH("ложь",R17)))</formula>
    </cfRule>
  </conditionalFormatting>
  <conditionalFormatting sqref="R18">
    <cfRule type="containsText" dxfId="502" priority="11" operator="containsText" text="ложь">
      <formula>NOT(ISERROR(SEARCH("ложь",R18)))</formula>
    </cfRule>
  </conditionalFormatting>
  <conditionalFormatting sqref="S17:V17">
    <cfRule type="containsText" dxfId="501" priority="10" operator="containsText" text="ложь">
      <formula>NOT(ISERROR(SEARCH("ложь",S17)))</formula>
    </cfRule>
  </conditionalFormatting>
  <conditionalFormatting sqref="S18:V18">
    <cfRule type="containsText" dxfId="500" priority="9" operator="containsText" text="ложь">
      <formula>NOT(ISERROR(SEARCH("ложь",S18)))</formula>
    </cfRule>
  </conditionalFormatting>
  <conditionalFormatting sqref="X17">
    <cfRule type="containsText" dxfId="499" priority="8" operator="containsText" text="ложь">
      <formula>NOT(ISERROR(SEARCH("ложь",X17)))</formula>
    </cfRule>
  </conditionalFormatting>
  <conditionalFormatting sqref="X18">
    <cfRule type="containsText" dxfId="498" priority="7" operator="containsText" text="ложь">
      <formula>NOT(ISERROR(SEARCH("ложь",X18)))</formula>
    </cfRule>
  </conditionalFormatting>
  <conditionalFormatting sqref="Y17:AB17">
    <cfRule type="containsText" dxfId="497" priority="6" operator="containsText" text="ложь">
      <formula>NOT(ISERROR(SEARCH("ложь",Y17)))</formula>
    </cfRule>
  </conditionalFormatting>
  <conditionalFormatting sqref="Y18:AB18">
    <cfRule type="containsText" dxfId="496" priority="5" operator="containsText" text="ложь">
      <formula>NOT(ISERROR(SEARCH("ложь",Y18)))</formula>
    </cfRule>
  </conditionalFormatting>
  <conditionalFormatting sqref="AD17">
    <cfRule type="containsText" dxfId="495" priority="4" operator="containsText" text="ложь">
      <formula>NOT(ISERROR(SEARCH("ложь",AD17)))</formula>
    </cfRule>
  </conditionalFormatting>
  <conditionalFormatting sqref="AD18">
    <cfRule type="containsText" dxfId="494" priority="3" operator="containsText" text="ложь">
      <formula>NOT(ISERROR(SEARCH("ложь",AD18)))</formula>
    </cfRule>
  </conditionalFormatting>
  <conditionalFormatting sqref="AE17:AH17">
    <cfRule type="containsText" dxfId="493" priority="2" operator="containsText" text="ложь">
      <formula>NOT(ISERROR(SEARCH("ложь",AE17)))</formula>
    </cfRule>
  </conditionalFormatting>
  <conditionalFormatting sqref="AE18:AH18">
    <cfRule type="containsText" dxfId="492" priority="1" operator="containsText" text="ложь">
      <formula>NOT(ISERROR(SEARCH("ложь",AE18)))</formula>
    </cfRule>
  </conditionalFormatting>
  <hyperlinks>
    <hyperlink ref="A42" location="Contents!A1" display="Contents!A1" xr:uid="{00000000-0004-0000-0900-000000000000}"/>
  </hyperlinks>
  <pageMargins left="0.7" right="0.7" top="0.75" bottom="0.75" header="0.3" footer="0.3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3">
    <pageSetUpPr fitToPage="1"/>
  </sheetPr>
  <dimension ref="A1:AV28"/>
  <sheetViews>
    <sheetView showGridLines="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4" width="10.7109375" style="20" hidden="1" customWidth="1" outlineLevel="1"/>
    <col min="15" max="15" width="9.14062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5" width="10.7109375" style="20" customWidth="1"/>
    <col min="46" max="16384" width="9.140625" style="20"/>
  </cols>
  <sheetData>
    <row r="1" spans="1:48" s="220" customFormat="1" ht="15" customHeight="1" x14ac:dyDescent="0.2"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8" ht="15" customHeight="1" x14ac:dyDescent="0.25">
      <c r="A2" s="335" t="str">
        <f>IF(Contents!$A$1=2,"EXPENSES","ЗАТРАТЫ")</f>
        <v>ЗАТРАТЫ</v>
      </c>
      <c r="B2" s="133"/>
      <c r="AV2"/>
    </row>
    <row r="3" spans="1:48" ht="15" customHeight="1" thickBot="1" x14ac:dyDescent="0.3">
      <c r="A3" s="132"/>
      <c r="B3" s="1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V3"/>
    </row>
    <row r="4" spans="1:48" ht="15" customHeight="1" thickTop="1" x14ac:dyDescent="0.3">
      <c r="Q4" s="220"/>
      <c r="AU4" s="21"/>
      <c r="AV4"/>
    </row>
    <row r="5" spans="1:48" ht="15" customHeight="1" x14ac:dyDescent="0.3">
      <c r="A5" s="39" t="str">
        <f>IF(Contents!$A$1=2,"Hydrocarbon extraction expenses","Удельные затраты на добычу углеводородов")</f>
        <v>Удельные затраты на добычу углеводородов</v>
      </c>
      <c r="B5" s="3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3"/>
      <c r="R5" s="21"/>
      <c r="S5" s="21"/>
      <c r="T5" s="21"/>
      <c r="U5" s="21"/>
      <c r="V5" s="21"/>
      <c r="W5" s="223"/>
      <c r="X5" s="21"/>
      <c r="Y5" s="21"/>
      <c r="Z5" s="21"/>
      <c r="AA5" s="21"/>
      <c r="AB5" s="21"/>
      <c r="AC5" s="223"/>
      <c r="AD5" s="21"/>
      <c r="AE5" s="21"/>
      <c r="AF5" s="21"/>
      <c r="AG5" s="21"/>
      <c r="AH5" s="21"/>
      <c r="AI5" s="223"/>
      <c r="AJ5" s="21"/>
      <c r="AK5" s="21"/>
      <c r="AL5" s="21"/>
      <c r="AM5" s="21"/>
      <c r="AN5" s="21"/>
      <c r="AO5" s="223"/>
      <c r="AP5" s="21"/>
      <c r="AQ5" s="21"/>
      <c r="AR5" s="21"/>
      <c r="AS5" s="21"/>
      <c r="AU5" s="21"/>
      <c r="AV5"/>
    </row>
    <row r="6" spans="1:48" ht="15" customHeight="1" x14ac:dyDescent="0.3">
      <c r="A6" s="38"/>
      <c r="B6" s="38"/>
      <c r="Q6" s="220"/>
      <c r="AU6" s="21"/>
      <c r="AV6"/>
    </row>
    <row r="7" spans="1:48" ht="15" customHeight="1" x14ac:dyDescent="0.3">
      <c r="A7" s="214"/>
      <c r="B7" s="313"/>
      <c r="C7" s="215"/>
      <c r="D7" s="97">
        <v>2014</v>
      </c>
      <c r="E7" s="77"/>
      <c r="F7" s="98" t="str">
        <f>IF(Contents!$A$1=2,"1Q","1 кв")</f>
        <v>1 кв</v>
      </c>
      <c r="G7" s="98" t="str">
        <f>IF(Contents!$A$1=2,"2Q","2 кв")</f>
        <v>2 кв</v>
      </c>
      <c r="H7" s="98" t="str">
        <f>IF(Contents!$A$1=2,"3Q","3 кв")</f>
        <v>3 кв</v>
      </c>
      <c r="I7" s="98" t="str">
        <f>IF(Contents!$A$1=2,"4Q","4 кв")</f>
        <v>4 кв</v>
      </c>
      <c r="J7" s="97">
        <v>2015</v>
      </c>
      <c r="K7" s="77"/>
      <c r="L7" s="98" t="str">
        <f>IF(Contents!$A$1=2,"1Q","1 кв")</f>
        <v>1 кв</v>
      </c>
      <c r="M7" s="98" t="str">
        <f>IF(Contents!$A$1=2,"2Q","2 кв")</f>
        <v>2 кв</v>
      </c>
      <c r="N7" s="98" t="str">
        <f>IF(Contents!$A$1=2,"3Q","3 кв")</f>
        <v>3 кв</v>
      </c>
      <c r="O7" s="98" t="str">
        <f>IF(Contents!$A$1=2,"4Q","4 кв")</f>
        <v>4 кв</v>
      </c>
      <c r="P7" s="317">
        <v>2016</v>
      </c>
      <c r="Q7" s="77"/>
      <c r="R7" s="98" t="str">
        <f>IF(Contents!$A$1=2,"1Q","1 кв")</f>
        <v>1 кв</v>
      </c>
      <c r="S7" s="98" t="str">
        <f>IF(Contents!$A$1=2,"2Q","2 кв")</f>
        <v>2 кв</v>
      </c>
      <c r="T7" s="98" t="str">
        <f>IF(Contents!$A$1=2,"3Q","3 кв")</f>
        <v>3 кв</v>
      </c>
      <c r="U7" s="98" t="str">
        <f>IF(Contents!$A$1=2,"4Q","4 кв")</f>
        <v>4 кв</v>
      </c>
      <c r="V7" s="149">
        <v>2017</v>
      </c>
      <c r="W7" s="351"/>
      <c r="X7" s="98" t="str">
        <f>IF(Contents!$A$1=2,"1Q","1 кв")</f>
        <v>1 кв</v>
      </c>
      <c r="Y7" s="98" t="str">
        <f>IF(Contents!$A$1=2,"2Q","2 кв")</f>
        <v>2 кв</v>
      </c>
      <c r="Z7" s="98" t="str">
        <f>IF(Contents!$A$1=2,"3Q","3 кв")</f>
        <v>3 кв</v>
      </c>
      <c r="AA7" s="98" t="str">
        <f>IF(Contents!$A$1=2,"4Q","4 кв")</f>
        <v>4 кв</v>
      </c>
      <c r="AB7" s="149">
        <v>2018</v>
      </c>
      <c r="AC7" s="351"/>
      <c r="AD7" s="98" t="str">
        <f>IF(Contents!$A$1=2,"1Q","1 кв")</f>
        <v>1 кв</v>
      </c>
      <c r="AE7" s="98" t="str">
        <f>IF(Contents!$A$1=2,"2Q","2 кв")</f>
        <v>2 кв</v>
      </c>
      <c r="AF7" s="98" t="str">
        <f>IF(Contents!$A$1=2,"3Q","3 кв")</f>
        <v>3 кв</v>
      </c>
      <c r="AG7" s="98" t="str">
        <f>IF(Contents!$A$1=2,"4Q","4 кв")</f>
        <v>4 кв</v>
      </c>
      <c r="AH7" s="149">
        <v>2019</v>
      </c>
      <c r="AI7" s="351"/>
      <c r="AJ7" s="98" t="str">
        <f>IF(Contents!$A$1=2,"1Q","1 кв")</f>
        <v>1 кв</v>
      </c>
      <c r="AK7" s="98" t="str">
        <f>IF(Contents!$A$1=2,"2Q","2 кв")</f>
        <v>2 кв</v>
      </c>
      <c r="AL7" s="98" t="str">
        <f>IF(Contents!$A$1=2,"3Q","3 кв")</f>
        <v>3 кв</v>
      </c>
      <c r="AM7" s="98" t="str">
        <f>IF(Contents!$A$1=2,"4Q","4 кв")</f>
        <v>4 кв</v>
      </c>
      <c r="AN7" s="149">
        <v>2020</v>
      </c>
      <c r="AO7" s="351"/>
      <c r="AP7" s="98" t="str">
        <f>IF(Contents!$A$1=2,"1Q","1 кв")</f>
        <v>1 кв</v>
      </c>
      <c r="AQ7" s="98" t="str">
        <f>IF(Contents!$A$1=2,"2Q","2 кв")</f>
        <v>2 кв</v>
      </c>
      <c r="AR7" s="98" t="str">
        <f>IF(Contents!$A$1=2,"3Q","3 кв")</f>
        <v>3 кв</v>
      </c>
      <c r="AS7" s="98" t="str">
        <f>IF(Contents!$A$1=2,"4Q","4 кв")</f>
        <v>4 кв</v>
      </c>
      <c r="AT7" s="149">
        <v>2021</v>
      </c>
      <c r="AU7" s="21"/>
      <c r="AV7"/>
    </row>
    <row r="8" spans="1:48" ht="15" customHeight="1" x14ac:dyDescent="0.3">
      <c r="A8" s="450" t="str">
        <f>IF(Contents!$A$1=2,"Hydrocarbon unit extraction expenses (excluding Iraq)","Удельные затраты на добычу углеводородов (исключая Ирак)")</f>
        <v>Удельные затраты на добычу углеводородов (исключая Ирак)</v>
      </c>
      <c r="B8" s="285" t="str">
        <f>IF(Contents!$A$1=2,"RUB/boe","руб./барр.")</f>
        <v>руб./барр.</v>
      </c>
      <c r="C8" s="79"/>
      <c r="D8" s="530">
        <v>196</v>
      </c>
      <c r="E8" s="438"/>
      <c r="F8" s="531">
        <v>205.61603007034705</v>
      </c>
      <c r="G8" s="531">
        <v>212</v>
      </c>
      <c r="H8" s="531">
        <v>231</v>
      </c>
      <c r="I8" s="531">
        <v>239</v>
      </c>
      <c r="J8" s="531">
        <v>222</v>
      </c>
      <c r="K8" s="438"/>
      <c r="L8" s="531">
        <v>225</v>
      </c>
      <c r="M8" s="531">
        <v>239</v>
      </c>
      <c r="N8" s="531">
        <v>237</v>
      </c>
      <c r="O8" s="531">
        <v>233.06994051111744</v>
      </c>
      <c r="P8" s="531">
        <v>233</v>
      </c>
      <c r="Q8" s="438"/>
      <c r="R8" s="531">
        <v>237</v>
      </c>
      <c r="S8" s="531">
        <v>243</v>
      </c>
      <c r="T8" s="531">
        <v>245</v>
      </c>
      <c r="U8" s="531">
        <v>251</v>
      </c>
      <c r="V8" s="531">
        <v>244</v>
      </c>
      <c r="W8" s="438"/>
      <c r="X8" s="531">
        <v>235</v>
      </c>
      <c r="Y8" s="531">
        <v>241</v>
      </c>
      <c r="Z8" s="531">
        <v>234</v>
      </c>
      <c r="AA8" s="531">
        <v>242</v>
      </c>
      <c r="AB8" s="531">
        <v>238</v>
      </c>
      <c r="AC8" s="438"/>
      <c r="AD8" s="531">
        <v>220</v>
      </c>
      <c r="AE8" s="531">
        <v>236</v>
      </c>
      <c r="AF8" s="531">
        <v>239</v>
      </c>
      <c r="AG8" s="531">
        <v>233</v>
      </c>
      <c r="AH8" s="531">
        <v>232</v>
      </c>
      <c r="AI8" s="438"/>
      <c r="AJ8" s="531">
        <v>229</v>
      </c>
      <c r="AK8" s="531">
        <v>259</v>
      </c>
      <c r="AL8" s="531">
        <v>254</v>
      </c>
      <c r="AM8" s="531">
        <v>249</v>
      </c>
      <c r="AN8" s="531">
        <v>247</v>
      </c>
      <c r="AO8" s="438"/>
      <c r="AP8" s="531">
        <v>235</v>
      </c>
      <c r="AQ8" s="531">
        <v>256</v>
      </c>
      <c r="AR8" s="531">
        <v>245</v>
      </c>
      <c r="AS8" s="531">
        <v>239</v>
      </c>
      <c r="AT8" s="531">
        <v>243</v>
      </c>
      <c r="AU8" s="21"/>
      <c r="AV8"/>
    </row>
    <row r="9" spans="1:48" ht="15" customHeight="1" x14ac:dyDescent="0.3">
      <c r="A9" s="216" t="str">
        <f>IF(Contents!$A$1=2,"in Russia","- в России")</f>
        <v>- в России</v>
      </c>
      <c r="B9" s="280" t="str">
        <f>IF(Contents!$A$1=2,"RUB/boe","руб./барр.")</f>
        <v>руб./барр.</v>
      </c>
      <c r="C9" s="215"/>
      <c r="D9" s="532">
        <v>196</v>
      </c>
      <c r="E9" s="533"/>
      <c r="F9" s="533">
        <v>202.47263756784415</v>
      </c>
      <c r="G9" s="533">
        <v>211.42067219199799</v>
      </c>
      <c r="H9" s="533">
        <v>223</v>
      </c>
      <c r="I9" s="533">
        <v>235</v>
      </c>
      <c r="J9" s="533">
        <v>218</v>
      </c>
      <c r="K9" s="533"/>
      <c r="L9" s="533">
        <v>222</v>
      </c>
      <c r="M9" s="533">
        <v>235</v>
      </c>
      <c r="N9" s="533">
        <v>238</v>
      </c>
      <c r="O9" s="533">
        <v>237.71933119379199</v>
      </c>
      <c r="P9" s="533">
        <v>233</v>
      </c>
      <c r="Q9" s="533"/>
      <c r="R9" s="533">
        <v>243</v>
      </c>
      <c r="S9" s="533">
        <v>248</v>
      </c>
      <c r="T9" s="533">
        <v>245</v>
      </c>
      <c r="U9" s="533">
        <v>257</v>
      </c>
      <c r="V9" s="533">
        <v>248</v>
      </c>
      <c r="W9" s="533"/>
      <c r="X9" s="533">
        <v>244</v>
      </c>
      <c r="Y9" s="533">
        <v>246</v>
      </c>
      <c r="Z9" s="533">
        <v>240</v>
      </c>
      <c r="AA9" s="533">
        <v>246</v>
      </c>
      <c r="AB9" s="533">
        <v>244</v>
      </c>
      <c r="AC9" s="533"/>
      <c r="AD9" s="533">
        <v>231</v>
      </c>
      <c r="AE9" s="533">
        <v>240</v>
      </c>
      <c r="AF9" s="533">
        <v>239</v>
      </c>
      <c r="AG9" s="533">
        <v>239</v>
      </c>
      <c r="AH9" s="533">
        <v>237</v>
      </c>
      <c r="AI9" s="533"/>
      <c r="AJ9" s="533">
        <v>233</v>
      </c>
      <c r="AK9" s="533">
        <v>247</v>
      </c>
      <c r="AL9" s="533">
        <v>241</v>
      </c>
      <c r="AM9" s="533">
        <v>251</v>
      </c>
      <c r="AN9" s="533">
        <v>243</v>
      </c>
      <c r="AO9" s="533"/>
      <c r="AP9" s="533">
        <v>240</v>
      </c>
      <c r="AQ9" s="533">
        <v>249</v>
      </c>
      <c r="AR9" s="533">
        <v>244</v>
      </c>
      <c r="AS9" s="533">
        <v>245</v>
      </c>
      <c r="AT9" s="533">
        <v>245</v>
      </c>
      <c r="AU9" s="21"/>
      <c r="AV9"/>
    </row>
    <row r="10" spans="1:48" ht="15" customHeight="1" x14ac:dyDescent="0.3">
      <c r="A10" s="216" t="str">
        <f>IF(Contents!$A$1=2,"outside Russia and Iraq","- за рубежом, кроме Ирака")</f>
        <v>- за рубежом, кроме Ирака</v>
      </c>
      <c r="B10" s="280" t="str">
        <f>IF(Contents!$A$1=2,"RUB/boe","руб./барр.")</f>
        <v>руб./барр.</v>
      </c>
      <c r="C10" s="215"/>
      <c r="D10" s="532">
        <v>192</v>
      </c>
      <c r="E10" s="533"/>
      <c r="F10" s="533">
        <v>249.41933523790192</v>
      </c>
      <c r="G10" s="533">
        <v>220.37645779784003</v>
      </c>
      <c r="H10" s="533">
        <v>359</v>
      </c>
      <c r="I10" s="533">
        <v>284</v>
      </c>
      <c r="J10" s="533">
        <v>276</v>
      </c>
      <c r="K10" s="533"/>
      <c r="L10" s="533">
        <v>255</v>
      </c>
      <c r="M10" s="533">
        <v>288</v>
      </c>
      <c r="N10" s="533">
        <v>228</v>
      </c>
      <c r="O10" s="533">
        <v>181.99786580112558</v>
      </c>
      <c r="P10" s="533">
        <v>237</v>
      </c>
      <c r="Q10" s="533"/>
      <c r="R10" s="533">
        <v>167</v>
      </c>
      <c r="S10" s="533">
        <v>189</v>
      </c>
      <c r="T10" s="533">
        <v>250</v>
      </c>
      <c r="U10" s="533">
        <v>205</v>
      </c>
      <c r="V10" s="533">
        <v>204</v>
      </c>
      <c r="W10" s="533"/>
      <c r="X10" s="533">
        <v>176</v>
      </c>
      <c r="Y10" s="533">
        <v>207</v>
      </c>
      <c r="Z10" s="533">
        <v>196</v>
      </c>
      <c r="AA10" s="533">
        <v>214</v>
      </c>
      <c r="AB10" s="533">
        <v>199</v>
      </c>
      <c r="AC10" s="533"/>
      <c r="AD10" s="533">
        <v>152</v>
      </c>
      <c r="AE10" s="533">
        <v>208</v>
      </c>
      <c r="AF10" s="533">
        <v>245</v>
      </c>
      <c r="AG10" s="533">
        <v>200</v>
      </c>
      <c r="AH10" s="533">
        <v>200</v>
      </c>
      <c r="AI10" s="533"/>
      <c r="AJ10" s="533">
        <v>203</v>
      </c>
      <c r="AK10" s="533">
        <v>381</v>
      </c>
      <c r="AL10" s="533">
        <v>404</v>
      </c>
      <c r="AM10" s="533">
        <v>240</v>
      </c>
      <c r="AN10" s="533">
        <v>282</v>
      </c>
      <c r="AO10" s="533"/>
      <c r="AP10" s="533">
        <v>208</v>
      </c>
      <c r="AQ10" s="533">
        <v>305</v>
      </c>
      <c r="AR10" s="533">
        <v>248</v>
      </c>
      <c r="AS10" s="533">
        <v>205</v>
      </c>
      <c r="AT10" s="533">
        <v>236</v>
      </c>
      <c r="AU10" s="21"/>
      <c r="AV10"/>
    </row>
    <row r="11" spans="1:48" ht="15" customHeight="1" x14ac:dyDescent="0.3">
      <c r="A11" s="216"/>
      <c r="B11" s="280"/>
      <c r="C11" s="215"/>
      <c r="D11" s="532"/>
      <c r="E11" s="533"/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21"/>
      <c r="AV11"/>
    </row>
    <row r="12" spans="1:48" ht="15" customHeight="1" x14ac:dyDescent="0.3">
      <c r="A12" s="450" t="str">
        <f>IF(Contents!$A$1=2,"Hydrocarbon unit extraction expenses (excluding Iraq)","Удельные затраты на добычу углеводородов (исключая Ирак)")</f>
        <v>Удельные затраты на добычу углеводородов (исключая Ирак)</v>
      </c>
      <c r="B12" s="318" t="str">
        <f>IF(Contents!$A$1=2,"USD/boe","долл./барр.")</f>
        <v>долл./барр.</v>
      </c>
      <c r="C12" s="79"/>
      <c r="D12" s="534">
        <v>5.0999999999999996</v>
      </c>
      <c r="E12" s="535"/>
      <c r="F12" s="536">
        <v>3.3061385522677602</v>
      </c>
      <c r="G12" s="536">
        <v>4.03</v>
      </c>
      <c r="H12" s="536">
        <v>3.67</v>
      </c>
      <c r="I12" s="536">
        <v>3.62</v>
      </c>
      <c r="J12" s="536">
        <v>3.65</v>
      </c>
      <c r="K12" s="535"/>
      <c r="L12" s="536">
        <v>3.01</v>
      </c>
      <c r="M12" s="536">
        <v>3.62</v>
      </c>
      <c r="N12" s="536">
        <v>3.67</v>
      </c>
      <c r="O12" s="536">
        <v>3.6955047370893146</v>
      </c>
      <c r="P12" s="536">
        <v>3.5</v>
      </c>
      <c r="Q12" s="535"/>
      <c r="R12" s="536">
        <v>4.0199999999999996</v>
      </c>
      <c r="S12" s="536">
        <v>4.25</v>
      </c>
      <c r="T12" s="536">
        <v>4.1500000000000004</v>
      </c>
      <c r="U12" s="536">
        <v>4.3</v>
      </c>
      <c r="V12" s="536">
        <v>4.18</v>
      </c>
      <c r="W12" s="535"/>
      <c r="X12" s="536">
        <v>4.1399999999999997</v>
      </c>
      <c r="Y12" s="536">
        <v>3.9</v>
      </c>
      <c r="Z12" s="536">
        <v>3.58</v>
      </c>
      <c r="AA12" s="536">
        <v>3.63</v>
      </c>
      <c r="AB12" s="536">
        <v>3.81</v>
      </c>
      <c r="AC12" s="535"/>
      <c r="AD12" s="536">
        <v>3.32</v>
      </c>
      <c r="AE12" s="536">
        <v>3.65</v>
      </c>
      <c r="AF12" s="536">
        <v>3.71</v>
      </c>
      <c r="AG12" s="536">
        <v>3.66</v>
      </c>
      <c r="AH12" s="536">
        <v>3.59</v>
      </c>
      <c r="AI12" s="535"/>
      <c r="AJ12" s="536">
        <v>3.45</v>
      </c>
      <c r="AK12" s="536">
        <v>3.58</v>
      </c>
      <c r="AL12" s="536">
        <v>3.45</v>
      </c>
      <c r="AM12" s="536">
        <v>3.27</v>
      </c>
      <c r="AN12" s="536">
        <v>3.42</v>
      </c>
      <c r="AO12" s="535"/>
      <c r="AP12" s="536">
        <v>3.16</v>
      </c>
      <c r="AQ12" s="536">
        <v>3.44</v>
      </c>
      <c r="AR12" s="536">
        <v>3.33</v>
      </c>
      <c r="AS12" s="536">
        <v>3.29</v>
      </c>
      <c r="AT12" s="536">
        <v>3.3</v>
      </c>
      <c r="AU12" s="21"/>
      <c r="AV12"/>
    </row>
    <row r="13" spans="1:48" ht="15" customHeight="1" x14ac:dyDescent="0.3">
      <c r="A13" s="216" t="str">
        <f>IF(Contents!$A$1=2,"in Russia","- в России")</f>
        <v>- в России</v>
      </c>
      <c r="B13" s="319" t="str">
        <f>IF(Contents!$A$1=2,"USD/boe","долл./барр.")</f>
        <v>долл./барр.</v>
      </c>
      <c r="C13" s="215"/>
      <c r="D13" s="537">
        <v>5.1100000000000003</v>
      </c>
      <c r="E13" s="538"/>
      <c r="F13" s="538">
        <v>3.2555953571001526</v>
      </c>
      <c r="G13" s="538">
        <v>4.0152593841718147</v>
      </c>
      <c r="H13" s="538">
        <v>3.54</v>
      </c>
      <c r="I13" s="538">
        <v>3.5592987502898694</v>
      </c>
      <c r="J13" s="538">
        <v>3.59</v>
      </c>
      <c r="K13" s="538"/>
      <c r="L13" s="538">
        <v>2.98</v>
      </c>
      <c r="M13" s="538">
        <v>3.56</v>
      </c>
      <c r="N13" s="538">
        <v>3.68</v>
      </c>
      <c r="O13" s="538">
        <v>3.7692244336521714</v>
      </c>
      <c r="P13" s="538">
        <v>3.5</v>
      </c>
      <c r="Q13" s="538"/>
      <c r="R13" s="538">
        <v>4.13</v>
      </c>
      <c r="S13" s="538">
        <v>4.33</v>
      </c>
      <c r="T13" s="538">
        <v>4.1399999999999997</v>
      </c>
      <c r="U13" s="538">
        <v>4.41</v>
      </c>
      <c r="V13" s="538">
        <v>4.25</v>
      </c>
      <c r="W13" s="538"/>
      <c r="X13" s="538">
        <v>4.28</v>
      </c>
      <c r="Y13" s="538">
        <v>3.98</v>
      </c>
      <c r="Z13" s="538">
        <v>3.67</v>
      </c>
      <c r="AA13" s="538">
        <v>3.7</v>
      </c>
      <c r="AB13" s="538">
        <v>3.9</v>
      </c>
      <c r="AC13" s="538"/>
      <c r="AD13" s="538">
        <v>3.5</v>
      </c>
      <c r="AE13" s="538">
        <v>3.72</v>
      </c>
      <c r="AF13" s="538">
        <v>3.7</v>
      </c>
      <c r="AG13" s="538">
        <v>3.75</v>
      </c>
      <c r="AH13" s="538">
        <v>3.67</v>
      </c>
      <c r="AI13" s="538"/>
      <c r="AJ13" s="538">
        <v>3.51</v>
      </c>
      <c r="AK13" s="538">
        <v>3.41</v>
      </c>
      <c r="AL13" s="538">
        <v>3.28</v>
      </c>
      <c r="AM13" s="538">
        <v>3.29</v>
      </c>
      <c r="AN13" s="538">
        <v>3.36</v>
      </c>
      <c r="AO13" s="538"/>
      <c r="AP13" s="538">
        <v>3.23</v>
      </c>
      <c r="AQ13" s="538">
        <v>3.36</v>
      </c>
      <c r="AR13" s="538">
        <v>3.32</v>
      </c>
      <c r="AS13" s="538">
        <v>3.37</v>
      </c>
      <c r="AT13" s="538">
        <v>3.32</v>
      </c>
      <c r="AU13" s="21"/>
      <c r="AV13"/>
    </row>
    <row r="14" spans="1:48" ht="15" customHeight="1" x14ac:dyDescent="0.3">
      <c r="A14" s="84" t="str">
        <f>IF(Contents!$A$1=2,"outside Russia and Iraq","- за рубежом, кроме Ирака")</f>
        <v>- за рубежом, кроме Ирака</v>
      </c>
      <c r="B14" s="320" t="str">
        <f>IF(Contents!$A$1=2,"USD/boe","долл./барр.")</f>
        <v>долл./барр.</v>
      </c>
      <c r="C14" s="79"/>
      <c r="D14" s="489">
        <v>4.99</v>
      </c>
      <c r="E14" s="535"/>
      <c r="F14" s="535">
        <v>4.0104600775965782</v>
      </c>
      <c r="G14" s="535">
        <v>4.1853458843406912</v>
      </c>
      <c r="H14" s="535">
        <v>5.71</v>
      </c>
      <c r="I14" s="535">
        <v>4.3099999999999996</v>
      </c>
      <c r="J14" s="535">
        <v>4.5</v>
      </c>
      <c r="K14" s="535"/>
      <c r="L14" s="535">
        <v>3.42</v>
      </c>
      <c r="M14" s="535">
        <v>4.3600000000000003</v>
      </c>
      <c r="N14" s="535">
        <v>3.54</v>
      </c>
      <c r="O14" s="535">
        <v>2.8857173676419383</v>
      </c>
      <c r="P14" s="535">
        <v>3.52</v>
      </c>
      <c r="Q14" s="535"/>
      <c r="R14" s="535">
        <v>2.84</v>
      </c>
      <c r="S14" s="535">
        <v>3.31</v>
      </c>
      <c r="T14" s="535">
        <v>4.2300000000000004</v>
      </c>
      <c r="U14" s="535">
        <v>3.51</v>
      </c>
      <c r="V14" s="535">
        <v>3.5</v>
      </c>
      <c r="W14" s="535"/>
      <c r="X14" s="535">
        <v>3.09</v>
      </c>
      <c r="Y14" s="535">
        <v>3.35</v>
      </c>
      <c r="Z14" s="535">
        <v>3</v>
      </c>
      <c r="AA14" s="535">
        <v>3.21</v>
      </c>
      <c r="AB14" s="535">
        <v>3.16</v>
      </c>
      <c r="AC14" s="535"/>
      <c r="AD14" s="535">
        <v>2.29</v>
      </c>
      <c r="AE14" s="535">
        <v>3.22</v>
      </c>
      <c r="AF14" s="535">
        <v>3.79</v>
      </c>
      <c r="AG14" s="535">
        <v>3.15</v>
      </c>
      <c r="AH14" s="535">
        <v>3.09</v>
      </c>
      <c r="AI14" s="535"/>
      <c r="AJ14" s="535">
        <v>3.05</v>
      </c>
      <c r="AK14" s="535">
        <v>5.27</v>
      </c>
      <c r="AL14" s="535">
        <v>5.5</v>
      </c>
      <c r="AM14" s="535">
        <v>3.15</v>
      </c>
      <c r="AN14" s="535">
        <v>3.91</v>
      </c>
      <c r="AO14" s="535"/>
      <c r="AP14" s="535">
        <v>2.8</v>
      </c>
      <c r="AQ14" s="535">
        <v>4.1100000000000003</v>
      </c>
      <c r="AR14" s="535">
        <v>3.37</v>
      </c>
      <c r="AS14" s="535">
        <v>2.83</v>
      </c>
      <c r="AT14" s="535">
        <v>3.2</v>
      </c>
      <c r="AU14" s="21"/>
      <c r="AV14"/>
    </row>
    <row r="15" spans="1:48" ht="15" customHeight="1" x14ac:dyDescent="0.3">
      <c r="A15" s="84"/>
      <c r="B15" s="320"/>
      <c r="C15" s="79"/>
      <c r="D15" s="217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U15" s="21"/>
      <c r="AV15"/>
    </row>
    <row r="16" spans="1:48" ht="15" customHeight="1" x14ac:dyDescent="0.3">
      <c r="B16" s="244"/>
      <c r="Q16" s="220"/>
      <c r="AU16" s="21"/>
      <c r="AV16"/>
    </row>
    <row r="17" spans="1:48" ht="15" customHeight="1" x14ac:dyDescent="0.25">
      <c r="A17" s="39" t="str">
        <f>IF(Contents!$A$1=2,"Refining expenses","Удельные затраты по переработке нефти")</f>
        <v>Удельные затраты по переработке нефти</v>
      </c>
      <c r="B17" s="281"/>
      <c r="C17" s="7"/>
      <c r="D17" s="13"/>
      <c r="E17" s="13"/>
      <c r="F17" s="14"/>
      <c r="G17" s="14"/>
      <c r="H17" s="13"/>
      <c r="I17" s="13"/>
      <c r="J17" s="13"/>
      <c r="K17" s="13"/>
      <c r="L17" s="14"/>
      <c r="M17" s="14"/>
      <c r="N17" s="13"/>
      <c r="O17" s="13"/>
      <c r="P17" s="13"/>
      <c r="Q17" s="13"/>
      <c r="R17" s="14"/>
      <c r="S17" s="14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4"/>
      <c r="AE17" s="14"/>
      <c r="AF17" s="13"/>
      <c r="AG17" s="13"/>
      <c r="AH17" s="13"/>
      <c r="AI17" s="13"/>
      <c r="AJ17" s="14"/>
      <c r="AK17" s="14"/>
      <c r="AL17" s="13"/>
      <c r="AM17" s="13"/>
      <c r="AN17" s="13"/>
      <c r="AO17" s="13"/>
      <c r="AP17" s="13"/>
      <c r="AQ17" s="13"/>
      <c r="AR17" s="13"/>
      <c r="AS17" s="13"/>
      <c r="AU17" s="2"/>
      <c r="AV17"/>
    </row>
    <row r="18" spans="1:48" ht="15" customHeight="1" x14ac:dyDescent="0.25">
      <c r="A18" s="7"/>
      <c r="B18" s="281"/>
      <c r="C18" s="7"/>
      <c r="D18" s="13"/>
      <c r="E18" s="13"/>
      <c r="F18" s="14"/>
      <c r="G18" s="14"/>
      <c r="H18" s="13"/>
      <c r="I18" s="13"/>
      <c r="J18" s="13"/>
      <c r="K18" s="13"/>
      <c r="L18" s="14"/>
      <c r="M18" s="14"/>
      <c r="N18" s="13"/>
      <c r="O18" s="13"/>
      <c r="P18" s="13"/>
      <c r="Q18" s="13"/>
      <c r="R18" s="14"/>
      <c r="S18" s="14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4"/>
      <c r="AE18" s="14"/>
      <c r="AF18" s="13"/>
      <c r="AG18" s="13"/>
      <c r="AH18" s="13"/>
      <c r="AI18" s="13"/>
      <c r="AJ18" s="14"/>
      <c r="AK18" s="14"/>
      <c r="AL18" s="13"/>
      <c r="AM18" s="13"/>
      <c r="AN18" s="13"/>
      <c r="AO18" s="13"/>
      <c r="AP18" s="13"/>
      <c r="AQ18" s="13"/>
      <c r="AR18" s="13"/>
      <c r="AS18" s="13"/>
      <c r="AU18" s="1"/>
      <c r="AV18"/>
    </row>
    <row r="19" spans="1:48" s="1" customFormat="1" ht="15" customHeight="1" x14ac:dyDescent="0.25">
      <c r="A19" s="75"/>
      <c r="B19" s="313"/>
      <c r="C19" s="16"/>
      <c r="D19" s="97">
        <v>2014</v>
      </c>
      <c r="E19" s="77"/>
      <c r="F19" s="98" t="str">
        <f>IF(Contents!$A$1=2,"1Q","1 кв")</f>
        <v>1 кв</v>
      </c>
      <c r="G19" s="98" t="str">
        <f>IF(Contents!$A$1=2,"2Q","2 кв")</f>
        <v>2 кв</v>
      </c>
      <c r="H19" s="98" t="str">
        <f>IF(Contents!$A$1=2,"3Q","3 кв")</f>
        <v>3 кв</v>
      </c>
      <c r="I19" s="98" t="str">
        <f>IF(Contents!$A$1=2,"4Q","4 кв")</f>
        <v>4 кв</v>
      </c>
      <c r="J19" s="97">
        <v>2015</v>
      </c>
      <c r="K19" s="77"/>
      <c r="L19" s="98" t="str">
        <f>IF(Contents!$A$1=2,"1Q","1 кв")</f>
        <v>1 кв</v>
      </c>
      <c r="M19" s="98" t="str">
        <f>IF(Contents!$A$1=2,"2Q","2 кв")</f>
        <v>2 кв</v>
      </c>
      <c r="N19" s="98" t="str">
        <f>IF(Contents!$A$1=2,"3Q","3 кв")</f>
        <v>3 кв</v>
      </c>
      <c r="O19" s="98" t="str">
        <f>IF(Contents!$A$1=2,"4Q","4 кв")</f>
        <v>4 кв</v>
      </c>
      <c r="P19" s="97">
        <v>2016</v>
      </c>
      <c r="Q19" s="77"/>
      <c r="R19" s="98" t="str">
        <f>IF(Contents!$A$1=2,"1Q","1 кв")</f>
        <v>1 кв</v>
      </c>
      <c r="S19" s="98" t="str">
        <f>IF(Contents!$A$1=2,"2Q","2 кв")</f>
        <v>2 кв</v>
      </c>
      <c r="T19" s="98" t="str">
        <f>IF(Contents!$A$1=2,"3Q","3 кв")</f>
        <v>3 кв</v>
      </c>
      <c r="U19" s="98" t="str">
        <f>IF(Contents!$A$1=2,"4Q","4 кв")</f>
        <v>4 кв</v>
      </c>
      <c r="V19" s="97">
        <v>2017</v>
      </c>
      <c r="W19" s="77"/>
      <c r="X19" s="98" t="str">
        <f>IF(Contents!$A$1=2,"1Q","1 кв")</f>
        <v>1 кв</v>
      </c>
      <c r="Y19" s="98" t="str">
        <f>IF(Contents!$A$1=2,"2Q","2 кв")</f>
        <v>2 кв</v>
      </c>
      <c r="Z19" s="98" t="str">
        <f>IF(Contents!$A$1=2,"3Q","3 кв")</f>
        <v>3 кв</v>
      </c>
      <c r="AA19" s="98" t="str">
        <f>IF(Contents!$A$1=2,"4Q","4 кв")</f>
        <v>4 кв</v>
      </c>
      <c r="AB19" s="97">
        <v>2018</v>
      </c>
      <c r="AC19" s="77"/>
      <c r="AD19" s="98" t="str">
        <f>IF(Contents!$A$1=2,"1Q","1 кв")</f>
        <v>1 кв</v>
      </c>
      <c r="AE19" s="98" t="str">
        <f>IF(Contents!$A$1=2,"2Q","2 кв")</f>
        <v>2 кв</v>
      </c>
      <c r="AF19" s="98" t="str">
        <f>IF(Contents!$A$1=2,"3Q","3 кв")</f>
        <v>3 кв</v>
      </c>
      <c r="AG19" s="98" t="str">
        <f>IF(Contents!$A$1=2,"4Q","4 кв")</f>
        <v>4 кв</v>
      </c>
      <c r="AH19" s="97">
        <v>2019</v>
      </c>
      <c r="AI19" s="77"/>
      <c r="AJ19" s="98" t="str">
        <f>IF(Contents!$A$1=2,"1Q","1 кв")</f>
        <v>1 кв</v>
      </c>
      <c r="AK19" s="98" t="str">
        <f>IF(Contents!$A$1=2,"2Q","2 кв")</f>
        <v>2 кв</v>
      </c>
      <c r="AL19" s="98" t="str">
        <f>IF(Contents!$A$1=2,"3Q","3 кв")</f>
        <v>3 кв</v>
      </c>
      <c r="AM19" s="98" t="str">
        <f>IF(Contents!$A$1=2,"4Q","4 кв")</f>
        <v>4 кв</v>
      </c>
      <c r="AN19" s="97">
        <v>2020</v>
      </c>
      <c r="AO19" s="77"/>
      <c r="AP19" s="98" t="str">
        <f>IF(Contents!$A$1=2,"1Q","1 кв")</f>
        <v>1 кв</v>
      </c>
      <c r="AQ19" s="98" t="str">
        <f>IF(Contents!$A$1=2,"2Q","2 кв")</f>
        <v>2 кв</v>
      </c>
      <c r="AR19" s="98" t="str">
        <f>IF(Contents!$A$1=2,"3Q","3 кв")</f>
        <v>3 кв</v>
      </c>
      <c r="AS19" s="98" t="str">
        <f>IF(Contents!$A$1=2,"4Q","4 кв")</f>
        <v>4 кв</v>
      </c>
      <c r="AT19" s="149">
        <v>2021</v>
      </c>
      <c r="AV19"/>
    </row>
    <row r="20" spans="1:48" s="1" customFormat="1" ht="15" customHeight="1" x14ac:dyDescent="0.25">
      <c r="A20" s="451" t="str">
        <f>IF(Contents!$A$1=2,"Unit refining expenses at the Group refineries","Удельные затраты на переработку нефти на НПЗ Группы")</f>
        <v>Удельные затраты на переработку нефти на НПЗ Группы</v>
      </c>
      <c r="B20" s="285" t="str">
        <f>IF(Contents!$A$1=2,"RUB/t","руб./т")</f>
        <v>руб./т</v>
      </c>
      <c r="C20" s="79"/>
      <c r="D20" s="530">
        <v>1274</v>
      </c>
      <c r="E20" s="438"/>
      <c r="F20" s="531">
        <v>1480.0373881693149</v>
      </c>
      <c r="G20" s="531">
        <v>1349</v>
      </c>
      <c r="H20" s="531">
        <v>1429</v>
      </c>
      <c r="I20" s="531">
        <v>1596.5166033869705</v>
      </c>
      <c r="J20" s="531">
        <v>1465</v>
      </c>
      <c r="K20" s="438"/>
      <c r="L20" s="531">
        <v>1420</v>
      </c>
      <c r="M20" s="531">
        <v>1390</v>
      </c>
      <c r="N20" s="531">
        <v>1233</v>
      </c>
      <c r="O20" s="531">
        <v>1454.1920822868078</v>
      </c>
      <c r="P20" s="531">
        <v>1373</v>
      </c>
      <c r="Q20" s="438"/>
      <c r="R20" s="531">
        <v>1297</v>
      </c>
      <c r="S20" s="531">
        <v>1219</v>
      </c>
      <c r="T20" s="531">
        <v>1294</v>
      </c>
      <c r="U20" s="531">
        <v>1333</v>
      </c>
      <c r="V20" s="531">
        <v>1287</v>
      </c>
      <c r="W20" s="438"/>
      <c r="X20" s="531">
        <v>1365</v>
      </c>
      <c r="Y20" s="531">
        <v>1534</v>
      </c>
      <c r="Z20" s="531">
        <v>1621</v>
      </c>
      <c r="AA20" s="531">
        <v>1705</v>
      </c>
      <c r="AB20" s="531">
        <v>1560</v>
      </c>
      <c r="AC20" s="438"/>
      <c r="AD20" s="531">
        <v>1410</v>
      </c>
      <c r="AE20" s="531">
        <v>1395</v>
      </c>
      <c r="AF20" s="531">
        <v>1367</v>
      </c>
      <c r="AG20" s="531">
        <v>1448</v>
      </c>
      <c r="AH20" s="531">
        <v>1404</v>
      </c>
      <c r="AI20" s="438"/>
      <c r="AJ20" s="531">
        <v>1303</v>
      </c>
      <c r="AK20" s="531">
        <v>1524</v>
      </c>
      <c r="AL20" s="531">
        <v>1628</v>
      </c>
      <c r="AM20" s="531">
        <v>1945</v>
      </c>
      <c r="AN20" s="531">
        <v>1580</v>
      </c>
      <c r="AO20" s="438"/>
      <c r="AP20" s="531">
        <v>1895</v>
      </c>
      <c r="AQ20" s="531">
        <v>1889</v>
      </c>
      <c r="AR20" s="531">
        <v>1860</v>
      </c>
      <c r="AS20" s="531">
        <v>2573</v>
      </c>
      <c r="AT20" s="531">
        <v>2050</v>
      </c>
      <c r="AV20"/>
    </row>
    <row r="21" spans="1:48" s="1" customFormat="1" ht="15" customHeight="1" x14ac:dyDescent="0.25">
      <c r="A21" s="158" t="str">
        <f>IF(Contents!$A$1=2,"in Russia","- в России ")</f>
        <v xml:space="preserve">- в России </v>
      </c>
      <c r="B21" s="280" t="str">
        <f>IF(Contents!$A$1=2,"RUB/t","руб./т")</f>
        <v>руб./т</v>
      </c>
      <c r="C21" s="139"/>
      <c r="D21" s="528">
        <v>912</v>
      </c>
      <c r="E21" s="528"/>
      <c r="F21" s="528">
        <v>858.29388659482322</v>
      </c>
      <c r="G21" s="528">
        <v>1013</v>
      </c>
      <c r="H21" s="528">
        <v>1120</v>
      </c>
      <c r="I21" s="528">
        <v>1211.5311187476136</v>
      </c>
      <c r="J21" s="528">
        <v>1055</v>
      </c>
      <c r="K21" s="528"/>
      <c r="L21" s="528">
        <v>1009</v>
      </c>
      <c r="M21" s="528">
        <v>1120</v>
      </c>
      <c r="N21" s="528">
        <v>974</v>
      </c>
      <c r="O21" s="528">
        <v>1094.096801268302</v>
      </c>
      <c r="P21" s="528">
        <v>1048</v>
      </c>
      <c r="Q21" s="528"/>
      <c r="R21" s="528">
        <v>966</v>
      </c>
      <c r="S21" s="528">
        <v>903</v>
      </c>
      <c r="T21" s="528">
        <v>927</v>
      </c>
      <c r="U21" s="528">
        <v>1003</v>
      </c>
      <c r="V21" s="528">
        <v>950</v>
      </c>
      <c r="W21" s="528"/>
      <c r="X21" s="528">
        <v>875</v>
      </c>
      <c r="Y21" s="528">
        <v>1006</v>
      </c>
      <c r="Z21" s="528">
        <v>1172</v>
      </c>
      <c r="AA21" s="528">
        <v>1170</v>
      </c>
      <c r="AB21" s="528">
        <v>1057</v>
      </c>
      <c r="AC21" s="528"/>
      <c r="AD21" s="528">
        <v>879</v>
      </c>
      <c r="AE21" s="528">
        <v>982</v>
      </c>
      <c r="AF21" s="528">
        <v>951</v>
      </c>
      <c r="AG21" s="528">
        <v>1046</v>
      </c>
      <c r="AH21" s="528">
        <v>964</v>
      </c>
      <c r="AI21" s="528"/>
      <c r="AJ21" s="528">
        <v>873</v>
      </c>
      <c r="AK21" s="528">
        <v>1031</v>
      </c>
      <c r="AL21" s="528">
        <v>1074</v>
      </c>
      <c r="AM21" s="528">
        <v>1295</v>
      </c>
      <c r="AN21" s="528">
        <v>1062</v>
      </c>
      <c r="AO21" s="528"/>
      <c r="AP21" s="528">
        <v>1231</v>
      </c>
      <c r="AQ21" s="528">
        <v>1173</v>
      </c>
      <c r="AR21" s="528">
        <v>1188</v>
      </c>
      <c r="AS21" s="528">
        <v>1359</v>
      </c>
      <c r="AT21" s="528">
        <v>1238</v>
      </c>
      <c r="AU21" s="206"/>
      <c r="AV21"/>
    </row>
    <row r="22" spans="1:48" s="1" customFormat="1" ht="15" customHeight="1" x14ac:dyDescent="0.25">
      <c r="A22" s="158" t="str">
        <f>IF(Contents!$A$1=2,"outside Russia","- за рубежом")</f>
        <v>- за рубежом</v>
      </c>
      <c r="B22" s="280" t="str">
        <f>IF(Contents!$A$1=2,"RUB/t","руб./т")</f>
        <v>руб./т</v>
      </c>
      <c r="C22" s="139"/>
      <c r="D22" s="528">
        <v>2045</v>
      </c>
      <c r="E22" s="528"/>
      <c r="F22" s="528">
        <v>2702.7134085957614</v>
      </c>
      <c r="G22" s="528">
        <v>2000</v>
      </c>
      <c r="H22" s="528">
        <v>1988</v>
      </c>
      <c r="I22" s="528">
        <v>2255.844368154324</v>
      </c>
      <c r="J22" s="528">
        <v>2223</v>
      </c>
      <c r="K22" s="528"/>
      <c r="L22" s="528">
        <v>2137</v>
      </c>
      <c r="M22" s="528">
        <v>1799</v>
      </c>
      <c r="N22" s="528">
        <v>1709</v>
      </c>
      <c r="O22" s="528">
        <v>2097.8496416069343</v>
      </c>
      <c r="P22" s="528">
        <v>1931</v>
      </c>
      <c r="Q22" s="528"/>
      <c r="R22" s="528">
        <v>1909</v>
      </c>
      <c r="S22" s="528">
        <v>1776</v>
      </c>
      <c r="T22" s="528">
        <v>1930</v>
      </c>
      <c r="U22" s="528">
        <v>1930</v>
      </c>
      <c r="V22" s="528">
        <v>1887</v>
      </c>
      <c r="W22" s="528"/>
      <c r="X22" s="528">
        <v>2321</v>
      </c>
      <c r="Y22" s="528">
        <v>2464</v>
      </c>
      <c r="Z22" s="528">
        <v>2374</v>
      </c>
      <c r="AA22" s="528">
        <v>2669</v>
      </c>
      <c r="AB22" s="528">
        <v>2459</v>
      </c>
      <c r="AC22" s="528"/>
      <c r="AD22" s="528">
        <v>2432</v>
      </c>
      <c r="AE22" s="528">
        <v>2125</v>
      </c>
      <c r="AF22" s="528">
        <v>2096</v>
      </c>
      <c r="AG22" s="528">
        <v>2153</v>
      </c>
      <c r="AH22" s="528">
        <v>2195</v>
      </c>
      <c r="AI22" s="528"/>
      <c r="AJ22" s="528">
        <v>2069</v>
      </c>
      <c r="AK22" s="528">
        <v>2603</v>
      </c>
      <c r="AL22" s="528">
        <v>2845</v>
      </c>
      <c r="AM22" s="528">
        <v>3760</v>
      </c>
      <c r="AN22" s="528">
        <v>2703</v>
      </c>
      <c r="AO22" s="528"/>
      <c r="AP22" s="528">
        <v>3403</v>
      </c>
      <c r="AQ22" s="528">
        <v>3284</v>
      </c>
      <c r="AR22" s="528">
        <v>3116</v>
      </c>
      <c r="AS22" s="528">
        <v>5483</v>
      </c>
      <c r="AT22" s="528">
        <v>3753</v>
      </c>
      <c r="AU22" s="206"/>
      <c r="AV22"/>
    </row>
    <row r="23" spans="1:48" s="206" customFormat="1" ht="15" customHeight="1" x14ac:dyDescent="0.25">
      <c r="A23" s="158"/>
      <c r="B23" s="280"/>
      <c r="C23" s="139"/>
      <c r="D23" s="528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8"/>
      <c r="T23" s="528"/>
      <c r="U23" s="528"/>
      <c r="V23" s="528"/>
      <c r="W23" s="528"/>
      <c r="X23" s="528"/>
      <c r="Y23" s="528"/>
      <c r="Z23" s="528"/>
      <c r="AA23" s="528"/>
      <c r="AB23" s="528"/>
      <c r="AC23" s="528"/>
      <c r="AD23" s="528"/>
      <c r="AE23" s="528"/>
      <c r="AF23" s="528"/>
      <c r="AG23" s="528"/>
      <c r="AH23" s="528"/>
      <c r="AI23" s="528"/>
      <c r="AJ23" s="528"/>
      <c r="AK23" s="528"/>
      <c r="AL23" s="528"/>
      <c r="AM23" s="528"/>
      <c r="AN23" s="528"/>
      <c r="AO23" s="528"/>
      <c r="AP23" s="528"/>
      <c r="AQ23" s="528"/>
      <c r="AR23" s="528"/>
      <c r="AS23" s="528"/>
      <c r="AT23" s="528"/>
      <c r="AV23"/>
    </row>
    <row r="24" spans="1:48" s="206" customFormat="1" ht="15" customHeight="1" x14ac:dyDescent="0.25">
      <c r="A24" s="452" t="str">
        <f>IF(Contents!$A$1=2,"Unit refining expenses at the Group refineries","Удельные затраты на переработку нефти на НПЗ Группы")</f>
        <v>Удельные затраты на переработку нефти на НПЗ Группы</v>
      </c>
      <c r="B24" s="318" t="str">
        <f>IF(Contents!$A$1=2,"USD/t","долл./т")</f>
        <v>долл./т</v>
      </c>
      <c r="C24" s="139"/>
      <c r="D24" s="534">
        <v>33.159999999999997</v>
      </c>
      <c r="E24" s="535"/>
      <c r="F24" s="536">
        <v>23.797982297075343</v>
      </c>
      <c r="G24" s="536">
        <v>25.62</v>
      </c>
      <c r="H24" s="536">
        <v>22.69</v>
      </c>
      <c r="I24" s="536">
        <v>24.210442734036583</v>
      </c>
      <c r="J24" s="536">
        <v>24.04</v>
      </c>
      <c r="K24" s="535"/>
      <c r="L24" s="536">
        <v>19.025695216031746</v>
      </c>
      <c r="M24" s="536">
        <v>21.09</v>
      </c>
      <c r="N24" s="536">
        <v>19.079999999999998</v>
      </c>
      <c r="O24" s="536">
        <v>23.057137208870916</v>
      </c>
      <c r="P24" s="536">
        <v>20.57</v>
      </c>
      <c r="Q24" s="535"/>
      <c r="R24" s="536">
        <v>22.05</v>
      </c>
      <c r="S24" s="536">
        <v>21.34</v>
      </c>
      <c r="T24" s="536">
        <v>21.92</v>
      </c>
      <c r="U24" s="536">
        <v>22.82</v>
      </c>
      <c r="V24" s="536">
        <v>22.04</v>
      </c>
      <c r="W24" s="535"/>
      <c r="X24" s="536">
        <v>24</v>
      </c>
      <c r="Y24" s="536">
        <v>24.83</v>
      </c>
      <c r="Z24" s="536">
        <v>24.74</v>
      </c>
      <c r="AA24" s="536">
        <v>25.65</v>
      </c>
      <c r="AB24" s="536">
        <v>24.82</v>
      </c>
      <c r="AC24" s="535"/>
      <c r="AD24" s="536">
        <v>21.32</v>
      </c>
      <c r="AE24" s="536">
        <v>21.61</v>
      </c>
      <c r="AF24" s="536">
        <v>21.17</v>
      </c>
      <c r="AG24" s="536">
        <v>22.73</v>
      </c>
      <c r="AH24" s="536">
        <v>21.7</v>
      </c>
      <c r="AI24" s="535"/>
      <c r="AJ24" s="536">
        <v>19.63</v>
      </c>
      <c r="AK24" s="536">
        <v>21.06</v>
      </c>
      <c r="AL24" s="536">
        <v>22.13</v>
      </c>
      <c r="AM24" s="536">
        <v>25.51</v>
      </c>
      <c r="AN24" s="536">
        <v>21.9</v>
      </c>
      <c r="AO24" s="535"/>
      <c r="AP24" s="536">
        <v>25.49</v>
      </c>
      <c r="AQ24" s="536">
        <v>25.45</v>
      </c>
      <c r="AR24" s="536">
        <v>25.31</v>
      </c>
      <c r="AS24" s="536">
        <v>35.44</v>
      </c>
      <c r="AT24" s="536">
        <v>27.84</v>
      </c>
      <c r="AV24"/>
    </row>
    <row r="25" spans="1:48" s="206" customFormat="1" ht="15" customHeight="1" x14ac:dyDescent="0.25">
      <c r="A25" s="218" t="str">
        <f>IF(Contents!$A$1=2,"in Russia","- в России")</f>
        <v>- в России</v>
      </c>
      <c r="B25" s="319" t="str">
        <f>IF(Contents!$A$1=2,"USD/t","долл./т")</f>
        <v>долл./т</v>
      </c>
      <c r="C25" s="139"/>
      <c r="D25" s="540">
        <v>23.73</v>
      </c>
      <c r="E25" s="540"/>
      <c r="F25" s="540">
        <v>13.800098995666728</v>
      </c>
      <c r="G25" s="540">
        <v>19.239999999999998</v>
      </c>
      <c r="H25" s="540">
        <v>17.79</v>
      </c>
      <c r="I25" s="540">
        <v>18.371608399841545</v>
      </c>
      <c r="J25" s="540">
        <v>17.350000000000001</v>
      </c>
      <c r="K25" s="540"/>
      <c r="L25" s="540">
        <v>13.515710777988087</v>
      </c>
      <c r="M25" s="540">
        <v>17</v>
      </c>
      <c r="N25" s="540">
        <v>15.07</v>
      </c>
      <c r="O25" s="540">
        <v>17.347314867227727</v>
      </c>
      <c r="P25" s="540">
        <v>15.74</v>
      </c>
      <c r="Q25" s="540"/>
      <c r="R25" s="540">
        <v>16.420000000000002</v>
      </c>
      <c r="S25" s="540">
        <v>15.8</v>
      </c>
      <c r="T25" s="540">
        <v>15.71</v>
      </c>
      <c r="U25" s="540">
        <v>17.18</v>
      </c>
      <c r="V25" s="540">
        <v>16.28</v>
      </c>
      <c r="W25" s="540"/>
      <c r="X25" s="540">
        <v>15.39</v>
      </c>
      <c r="Y25" s="540">
        <v>16.28</v>
      </c>
      <c r="Z25" s="540">
        <v>17.89</v>
      </c>
      <c r="AA25" s="540">
        <v>17.600000000000001</v>
      </c>
      <c r="AB25" s="540">
        <v>16.8</v>
      </c>
      <c r="AC25" s="540"/>
      <c r="AD25" s="540">
        <v>13.29</v>
      </c>
      <c r="AE25" s="540">
        <v>15.21</v>
      </c>
      <c r="AF25" s="540">
        <v>14.72</v>
      </c>
      <c r="AG25" s="540">
        <v>16.420000000000002</v>
      </c>
      <c r="AH25" s="540">
        <v>14.9</v>
      </c>
      <c r="AI25" s="540"/>
      <c r="AJ25" s="540">
        <v>13.15</v>
      </c>
      <c r="AK25" s="540">
        <v>14.25</v>
      </c>
      <c r="AL25" s="540">
        <v>14.6</v>
      </c>
      <c r="AM25" s="540">
        <v>16.989999999999998</v>
      </c>
      <c r="AN25" s="540">
        <v>14.73</v>
      </c>
      <c r="AO25" s="540"/>
      <c r="AP25" s="540">
        <v>16.55</v>
      </c>
      <c r="AQ25" s="540">
        <v>15.8</v>
      </c>
      <c r="AR25" s="540">
        <v>16.16</v>
      </c>
      <c r="AS25" s="540">
        <v>18.71</v>
      </c>
      <c r="AT25" s="540">
        <v>16.809999999999999</v>
      </c>
      <c r="AV25"/>
    </row>
    <row r="26" spans="1:48" s="206" customFormat="1" ht="15" customHeight="1" x14ac:dyDescent="0.25">
      <c r="A26" s="218" t="str">
        <f>IF(Contents!$A$1=2,"outside Russia","- за рубежом")</f>
        <v>- за рубежом</v>
      </c>
      <c r="B26" s="319" t="str">
        <f>IF(Contents!$A$1=2,"USD/t","долл./т")</f>
        <v>долл./т</v>
      </c>
      <c r="C26" s="139"/>
      <c r="D26" s="540">
        <v>53.24</v>
      </c>
      <c r="E26" s="540"/>
      <c r="F26" s="540">
        <v>43.4594204531804</v>
      </c>
      <c r="G26" s="540">
        <v>37.979999999999997</v>
      </c>
      <c r="H26" s="540">
        <v>31.56</v>
      </c>
      <c r="I26" s="540">
        <v>34.210517189548867</v>
      </c>
      <c r="J26" s="540">
        <v>36.43</v>
      </c>
      <c r="K26" s="540"/>
      <c r="L26" s="540">
        <v>28.631907302520915</v>
      </c>
      <c r="M26" s="540">
        <v>27.3</v>
      </c>
      <c r="N26" s="540">
        <v>26.45</v>
      </c>
      <c r="O26" s="540">
        <v>33.261597320034049</v>
      </c>
      <c r="P26" s="540">
        <v>28.88</v>
      </c>
      <c r="Q26" s="540"/>
      <c r="R26" s="540">
        <v>32.44</v>
      </c>
      <c r="S26" s="540">
        <v>31.07</v>
      </c>
      <c r="T26" s="540">
        <v>32.71</v>
      </c>
      <c r="U26" s="540">
        <v>33.04</v>
      </c>
      <c r="V26" s="540">
        <v>32.33</v>
      </c>
      <c r="W26" s="540"/>
      <c r="X26" s="540">
        <v>40.81</v>
      </c>
      <c r="Y26" s="540">
        <v>39.869999999999997</v>
      </c>
      <c r="Z26" s="540">
        <v>36.229999999999997</v>
      </c>
      <c r="AA26" s="540">
        <v>40.14</v>
      </c>
      <c r="AB26" s="540">
        <v>39.17</v>
      </c>
      <c r="AC26" s="540"/>
      <c r="AD26" s="540">
        <v>36.770000000000003</v>
      </c>
      <c r="AE26" s="540">
        <v>32.92</v>
      </c>
      <c r="AF26" s="540">
        <v>32.450000000000003</v>
      </c>
      <c r="AG26" s="540">
        <v>33.79</v>
      </c>
      <c r="AH26" s="540">
        <v>33.909999999999997</v>
      </c>
      <c r="AI26" s="540"/>
      <c r="AJ26" s="540">
        <v>31.17</v>
      </c>
      <c r="AK26" s="540">
        <v>35.97</v>
      </c>
      <c r="AL26" s="540">
        <v>38.68</v>
      </c>
      <c r="AM26" s="540">
        <v>49.33</v>
      </c>
      <c r="AN26" s="540">
        <v>37.46</v>
      </c>
      <c r="AO26" s="540"/>
      <c r="AP26" s="540">
        <v>45.78</v>
      </c>
      <c r="AQ26" s="540">
        <v>44.25</v>
      </c>
      <c r="AR26" s="540">
        <v>42.41</v>
      </c>
      <c r="AS26" s="540">
        <v>75.510000000000005</v>
      </c>
      <c r="AT26" s="540">
        <v>50.95</v>
      </c>
      <c r="AV26"/>
    </row>
    <row r="27" spans="1:48" s="206" customFormat="1" ht="15" customHeight="1" x14ac:dyDescent="0.25">
      <c r="A27" s="158"/>
      <c r="B27" s="158"/>
      <c r="C27" s="139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V27"/>
    </row>
    <row r="28" spans="1:48" ht="15" customHeight="1" x14ac:dyDescent="0.25">
      <c r="A28" s="51" t="str">
        <f>IF(Contents!$A$1=2,"Contents","Содержание")</f>
        <v>Содержание</v>
      </c>
      <c r="B28" s="51"/>
      <c r="AV28"/>
    </row>
  </sheetData>
  <conditionalFormatting sqref="A2:W2 A27:W1048576 A1:Q1 A7:Q26 R8:W26 A4:W6 A3:V3 AT2:XFD2 AT15:XFD18 AT4:XFD6 AU3:XFD3 AT28:XFD1048576 AU7:XFD14 AU19:XFD27 AU1:XFD1">
    <cfRule type="containsText" dxfId="491" priority="80" operator="containsText" text="ложь">
      <formula>NOT(ISERROR(SEARCH("ложь",A1)))</formula>
    </cfRule>
  </conditionalFormatting>
  <conditionalFormatting sqref="D1:Q1">
    <cfRule type="containsText" dxfId="490" priority="79" operator="containsText" text="ложь">
      <formula>NOT(ISERROR(SEARCH("ложь",D1)))</formula>
    </cfRule>
  </conditionalFormatting>
  <conditionalFormatting sqref="D1:Q1">
    <cfRule type="containsText" dxfId="489" priority="78" operator="containsText" text="ложь">
      <formula>NOT(ISERROR(SEARCH("ложь",D1)))</formula>
    </cfRule>
  </conditionalFormatting>
  <conditionalFormatting sqref="D1:Q1">
    <cfRule type="containsText" dxfId="488" priority="77" operator="containsText" text="ложь">
      <formula>NOT(ISERROR(SEARCH("ложь",D1)))</formula>
    </cfRule>
  </conditionalFormatting>
  <conditionalFormatting sqref="R7:W7">
    <cfRule type="containsText" dxfId="487" priority="60" operator="containsText" text="ложь">
      <formula>NOT(ISERROR(SEARCH("ложь",R7)))</formula>
    </cfRule>
  </conditionalFormatting>
  <conditionalFormatting sqref="R1:W1">
    <cfRule type="containsText" dxfId="486" priority="58" operator="containsText" text="ложь">
      <formula>NOT(ISERROR(SEARCH("ложь",R1)))</formula>
    </cfRule>
  </conditionalFormatting>
  <conditionalFormatting sqref="R1:W1">
    <cfRule type="containsText" dxfId="485" priority="57" operator="containsText" text="ложь">
      <formula>NOT(ISERROR(SEARCH("ложь",R1)))</formula>
    </cfRule>
  </conditionalFormatting>
  <conditionalFormatting sqref="R1:W1">
    <cfRule type="containsText" dxfId="484" priority="56" operator="containsText" text="ложь">
      <formula>NOT(ISERROR(SEARCH("ложь",R1)))</formula>
    </cfRule>
  </conditionalFormatting>
  <conditionalFormatting sqref="X2:AB6 X9:X14 X15:AB1048576">
    <cfRule type="containsText" dxfId="483" priority="54" operator="containsText" text="ложь">
      <formula>NOT(ISERROR(SEARCH("ложь",X2)))</formula>
    </cfRule>
  </conditionalFormatting>
  <conditionalFormatting sqref="X7:AB7">
    <cfRule type="containsText" dxfId="482" priority="53" operator="containsText" text="ложь">
      <formula>NOT(ISERROR(SEARCH("ложь",X7)))</formula>
    </cfRule>
  </conditionalFormatting>
  <conditionalFormatting sqref="X1:AB1">
    <cfRule type="containsText" dxfId="481" priority="52" operator="containsText" text="ложь">
      <formula>NOT(ISERROR(SEARCH("ложь",X1)))</formula>
    </cfRule>
  </conditionalFormatting>
  <conditionalFormatting sqref="X1:AB1">
    <cfRule type="containsText" dxfId="480" priority="51" operator="containsText" text="ложь">
      <formula>NOT(ISERROR(SEARCH("ложь",X1)))</formula>
    </cfRule>
  </conditionalFormatting>
  <conditionalFormatting sqref="X1:AB1">
    <cfRule type="containsText" dxfId="479" priority="50" operator="containsText" text="ложь">
      <formula>NOT(ISERROR(SEARCH("ложь",X1)))</formula>
    </cfRule>
  </conditionalFormatting>
  <conditionalFormatting sqref="X8">
    <cfRule type="containsText" dxfId="478" priority="49" operator="containsText" text="ложь">
      <formula>NOT(ISERROR(SEARCH("ложь",X8)))</formula>
    </cfRule>
  </conditionalFormatting>
  <conditionalFormatting sqref="Y9:Y14">
    <cfRule type="containsText" dxfId="477" priority="48" operator="containsText" text="ложь">
      <formula>NOT(ISERROR(SEARCH("ложь",Y9)))</formula>
    </cfRule>
  </conditionalFormatting>
  <conditionalFormatting sqref="Y8">
    <cfRule type="containsText" dxfId="476" priority="47" operator="containsText" text="ложь">
      <formula>NOT(ISERROR(SEARCH("ложь",Y8)))</formula>
    </cfRule>
  </conditionalFormatting>
  <conditionalFormatting sqref="Z9:AB14">
    <cfRule type="containsText" dxfId="475" priority="46" operator="containsText" text="ложь">
      <formula>NOT(ISERROR(SEARCH("ложь",Z9)))</formula>
    </cfRule>
  </conditionalFormatting>
  <conditionalFormatting sqref="Z8:AB8">
    <cfRule type="containsText" dxfId="474" priority="45" operator="containsText" text="ложь">
      <formula>NOT(ISERROR(SEARCH("ложь",Z8)))</formula>
    </cfRule>
  </conditionalFormatting>
  <conditionalFormatting sqref="AC2 AC8:AC1048576 AC4:AC6">
    <cfRule type="containsText" dxfId="473" priority="44" operator="containsText" text="ложь">
      <formula>NOT(ISERROR(SEARCH("ложь",AC2)))</formula>
    </cfRule>
  </conditionalFormatting>
  <conditionalFormatting sqref="AC7">
    <cfRule type="containsText" dxfId="472" priority="43" operator="containsText" text="ложь">
      <formula>NOT(ISERROR(SEARCH("ложь",AC7)))</formula>
    </cfRule>
  </conditionalFormatting>
  <conditionalFormatting sqref="AC1">
    <cfRule type="containsText" dxfId="471" priority="42" operator="containsText" text="ложь">
      <formula>NOT(ISERROR(SEARCH("ложь",AC1)))</formula>
    </cfRule>
  </conditionalFormatting>
  <conditionalFormatting sqref="AC1">
    <cfRule type="containsText" dxfId="470" priority="41" operator="containsText" text="ложь">
      <formula>NOT(ISERROR(SEARCH("ложь",AC1)))</formula>
    </cfRule>
  </conditionalFormatting>
  <conditionalFormatting sqref="AC1">
    <cfRule type="containsText" dxfId="469" priority="40" operator="containsText" text="ложь">
      <formula>NOT(ISERROR(SEARCH("ложь",AC1)))</formula>
    </cfRule>
  </conditionalFormatting>
  <conditionalFormatting sqref="AD28:AS1048576 AD15:AI19 AD2:AS2 AD4:AS6 AD3:AT3 AD27:AO27">
    <cfRule type="containsText" dxfId="468" priority="39" operator="containsText" text="ложь">
      <formula>NOT(ISERROR(SEARCH("ложь",AD2)))</formula>
    </cfRule>
  </conditionalFormatting>
  <conditionalFormatting sqref="AD7:AO7">
    <cfRule type="containsText" dxfId="467" priority="38" operator="containsText" text="ложь">
      <formula>NOT(ISERROR(SEARCH("ложь",AD7)))</formula>
    </cfRule>
  </conditionalFormatting>
  <conditionalFormatting sqref="AD1:AO1">
    <cfRule type="containsText" dxfId="466" priority="37" operator="containsText" text="ложь">
      <formula>NOT(ISERROR(SEARCH("ложь",AD1)))</formula>
    </cfRule>
  </conditionalFormatting>
  <conditionalFormatting sqref="AD1:AO1">
    <cfRule type="containsText" dxfId="465" priority="36" operator="containsText" text="ложь">
      <formula>NOT(ISERROR(SEARCH("ложь",AD1)))</formula>
    </cfRule>
  </conditionalFormatting>
  <conditionalFormatting sqref="AD1:AO1">
    <cfRule type="containsText" dxfId="464" priority="35" operator="containsText" text="ложь">
      <formula>NOT(ISERROR(SEARCH("ложь",AD1)))</formula>
    </cfRule>
  </conditionalFormatting>
  <conditionalFormatting sqref="AC3">
    <cfRule type="containsText" dxfId="463" priority="29" operator="containsText" text="ложь">
      <formula>NOT(ISERROR(SEARCH("ложь",AC3)))</formula>
    </cfRule>
  </conditionalFormatting>
  <conditionalFormatting sqref="W3">
    <cfRule type="containsText" dxfId="462" priority="28" operator="containsText" text="ложь">
      <formula>NOT(ISERROR(SEARCH("ложь",W3)))</formula>
    </cfRule>
  </conditionalFormatting>
  <conditionalFormatting sqref="AD9:AI14">
    <cfRule type="containsText" dxfId="461" priority="27" operator="containsText" text="ложь">
      <formula>NOT(ISERROR(SEARCH("ложь",AD9)))</formula>
    </cfRule>
  </conditionalFormatting>
  <conditionalFormatting sqref="AD8:AI8">
    <cfRule type="containsText" dxfId="460" priority="26" operator="containsText" text="ложь">
      <formula>NOT(ISERROR(SEARCH("ложь",AD8)))</formula>
    </cfRule>
  </conditionalFormatting>
  <conditionalFormatting sqref="AD20:AI26">
    <cfRule type="containsText" dxfId="459" priority="25" operator="containsText" text="ложь">
      <formula>NOT(ISERROR(SEARCH("ложь",AD20)))</formula>
    </cfRule>
  </conditionalFormatting>
  <conditionalFormatting sqref="AJ8">
    <cfRule type="containsText" dxfId="458" priority="18" operator="containsText" text="ложь">
      <formula>NOT(ISERROR(SEARCH("ложь",AJ8)))</formula>
    </cfRule>
  </conditionalFormatting>
  <conditionalFormatting sqref="AJ15:AS18 AJ19:AO19">
    <cfRule type="containsText" dxfId="457" priority="23" operator="containsText" text="ложь">
      <formula>NOT(ISERROR(SEARCH("ложь",AJ15)))</formula>
    </cfRule>
  </conditionalFormatting>
  <conditionalFormatting sqref="AJ20:AO26">
    <cfRule type="containsText" dxfId="456" priority="20" operator="containsText" text="ложь">
      <formula>NOT(ISERROR(SEARCH("ложь",AJ20)))</formula>
    </cfRule>
  </conditionalFormatting>
  <conditionalFormatting sqref="AJ9:AJ14">
    <cfRule type="containsText" dxfId="455" priority="19" operator="containsText" text="ложь">
      <formula>NOT(ISERROR(SEARCH("ложь",AJ9)))</formula>
    </cfRule>
  </conditionalFormatting>
  <conditionalFormatting sqref="AK8:AO8">
    <cfRule type="containsText" dxfId="454" priority="16" operator="containsText" text="ложь">
      <formula>NOT(ISERROR(SEARCH("ложь",AK8)))</formula>
    </cfRule>
  </conditionalFormatting>
  <conditionalFormatting sqref="AK9:AO14">
    <cfRule type="containsText" dxfId="453" priority="17" operator="containsText" text="ложь">
      <formula>NOT(ISERROR(SEARCH("ложь",AK9)))</formula>
    </cfRule>
  </conditionalFormatting>
  <conditionalFormatting sqref="AP7:AT7">
    <cfRule type="containsText" dxfId="452" priority="15" operator="containsText" text="ложь">
      <formula>NOT(ISERROR(SEARCH("ложь",AP7)))</formula>
    </cfRule>
  </conditionalFormatting>
  <conditionalFormatting sqref="AP1:AT1">
    <cfRule type="containsText" dxfId="451" priority="14" operator="containsText" text="ложь">
      <formula>NOT(ISERROR(SEARCH("ложь",AP1)))</formula>
    </cfRule>
  </conditionalFormatting>
  <conditionalFormatting sqref="AP19:AT19">
    <cfRule type="containsText" dxfId="450" priority="13" operator="containsText" text="ложь">
      <formula>NOT(ISERROR(SEARCH("ложь",AP19)))</formula>
    </cfRule>
  </conditionalFormatting>
  <conditionalFormatting sqref="AP27:AT27">
    <cfRule type="containsText" dxfId="449" priority="8" operator="containsText" text="ложь">
      <formula>NOT(ISERROR(SEARCH("ложь",AP27)))</formula>
    </cfRule>
  </conditionalFormatting>
  <conditionalFormatting sqref="AP8:AQ8">
    <cfRule type="containsText" dxfId="448" priority="5" operator="containsText" text="ложь">
      <formula>NOT(ISERROR(SEARCH("ложь",AP8)))</formula>
    </cfRule>
  </conditionalFormatting>
  <conditionalFormatting sqref="AP9:AQ14">
    <cfRule type="containsText" dxfId="447" priority="6" operator="containsText" text="ложь">
      <formula>NOT(ISERROR(SEARCH("ложь",AP9)))</formula>
    </cfRule>
  </conditionalFormatting>
  <conditionalFormatting sqref="AP20:AQ26">
    <cfRule type="containsText" dxfId="446" priority="4" operator="containsText" text="ложь">
      <formula>NOT(ISERROR(SEARCH("ложь",AP20)))</formula>
    </cfRule>
  </conditionalFormatting>
  <conditionalFormatting sqref="AR8:AT8">
    <cfRule type="containsText" dxfId="445" priority="2" operator="containsText" text="ложь">
      <formula>NOT(ISERROR(SEARCH("ложь",AR8)))</formula>
    </cfRule>
  </conditionalFormatting>
  <conditionalFormatting sqref="AR9:AT14">
    <cfRule type="containsText" dxfId="444" priority="3" operator="containsText" text="ложь">
      <formula>NOT(ISERROR(SEARCH("ложь",AR9)))</formula>
    </cfRule>
  </conditionalFormatting>
  <conditionalFormatting sqref="AR20:AT26">
    <cfRule type="containsText" dxfId="443" priority="1" operator="containsText" text="ложь">
      <formula>NOT(ISERROR(SEARCH("ложь",AR20)))</formula>
    </cfRule>
  </conditionalFormatting>
  <hyperlinks>
    <hyperlink ref="A28" location="Contents!A1" display="Contents!A1" xr:uid="{00000000-0004-0000-0A00-000000000000}"/>
  </hyperlinks>
  <pageMargins left="0.7" right="0.7" top="0.75" bottom="0.75" header="0.3" footer="0.3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pageSetUpPr fitToPage="1"/>
  </sheetPr>
  <dimension ref="A1:AW57"/>
  <sheetViews>
    <sheetView showGridLines="0" zoomScaleNormal="100" workbookViewId="0">
      <pane xSplit="2" ySplit="5" topLeftCell="C6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34" customWidth="1"/>
    <col min="4" max="4" width="10.7109375" style="20" customWidth="1"/>
    <col min="5" max="5" width="0.85546875" style="34" customWidth="1"/>
    <col min="6" max="9" width="10.7109375" style="20" hidden="1" customWidth="1" outlineLevel="1"/>
    <col min="10" max="10" width="10.7109375" style="20" customWidth="1" collapsed="1"/>
    <col min="11" max="11" width="0.85546875" style="34" customWidth="1"/>
    <col min="12" max="15" width="10.7109375" style="20" hidden="1" customWidth="1" outlineLevel="1"/>
    <col min="16" max="16" width="10.7109375" style="20" customWidth="1" collapsed="1"/>
    <col min="17" max="17" width="0.85546875" style="34" customWidth="1"/>
    <col min="18" max="21" width="10.7109375" style="20" hidden="1" customWidth="1" outlineLevel="1"/>
    <col min="22" max="22" width="10.7109375" style="20" customWidth="1" collapsed="1"/>
    <col min="23" max="23" width="0.85546875" style="34" customWidth="1"/>
    <col min="24" max="27" width="10.7109375" style="20" hidden="1" customWidth="1" outlineLevel="1"/>
    <col min="28" max="28" width="10.7109375" style="20" customWidth="1" collapsed="1"/>
    <col min="29" max="29" width="0.85546875" style="34" customWidth="1"/>
    <col min="30" max="33" width="10.7109375" style="20" hidden="1" customWidth="1" outlineLevel="1"/>
    <col min="34" max="34" width="10.7109375" style="20" customWidth="1" collapsed="1"/>
    <col min="35" max="35" width="0.85546875" style="34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7" width="10.7109375" style="20" customWidth="1"/>
    <col min="48" max="16384" width="9.140625" style="20"/>
  </cols>
  <sheetData>
    <row r="1" spans="1:47" s="220" customFormat="1" ht="15" customHeight="1" x14ac:dyDescent="0.2">
      <c r="C1" s="34"/>
      <c r="D1" s="348"/>
      <c r="E1" s="355"/>
      <c r="F1" s="348"/>
      <c r="G1" s="355"/>
      <c r="H1" s="348"/>
      <c r="I1" s="348"/>
      <c r="J1" s="348"/>
      <c r="K1" s="355"/>
      <c r="L1" s="348"/>
      <c r="M1" s="348"/>
      <c r="N1" s="348"/>
      <c r="O1" s="348"/>
      <c r="P1" s="348"/>
      <c r="Q1" s="355"/>
      <c r="R1" s="348"/>
      <c r="S1" s="348"/>
      <c r="T1" s="348"/>
      <c r="U1" s="348"/>
      <c r="V1" s="348"/>
      <c r="W1" s="355"/>
      <c r="X1" s="348"/>
      <c r="Y1" s="348"/>
      <c r="Z1" s="348"/>
      <c r="AA1" s="348"/>
      <c r="AB1" s="348"/>
      <c r="AC1" s="355"/>
      <c r="AD1" s="348"/>
      <c r="AE1" s="348"/>
      <c r="AF1" s="348"/>
      <c r="AG1" s="348"/>
      <c r="AH1" s="348"/>
      <c r="AI1" s="355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7" ht="15" customHeight="1" x14ac:dyDescent="0.2">
      <c r="A2" s="335" t="s">
        <v>4</v>
      </c>
      <c r="B2" s="133"/>
    </row>
    <row r="3" spans="1:47" ht="15" customHeight="1" thickBot="1" x14ac:dyDescent="0.25">
      <c r="A3" s="132"/>
      <c r="B3" s="132"/>
      <c r="D3" s="31"/>
      <c r="F3" s="31"/>
      <c r="G3" s="31"/>
      <c r="H3" s="31"/>
      <c r="I3" s="31"/>
      <c r="J3" s="31"/>
      <c r="L3" s="31"/>
      <c r="M3" s="31"/>
      <c r="N3" s="31"/>
      <c r="O3" s="31"/>
      <c r="P3" s="31"/>
      <c r="R3" s="31"/>
      <c r="S3" s="31"/>
      <c r="T3" s="31"/>
      <c r="U3" s="31"/>
      <c r="V3" s="31"/>
      <c r="W3" s="352"/>
      <c r="X3" s="31"/>
      <c r="Y3" s="31"/>
      <c r="Z3" s="31"/>
      <c r="AA3" s="31"/>
      <c r="AB3" s="31"/>
      <c r="AC3" s="352"/>
      <c r="AD3" s="31"/>
      <c r="AE3" s="31"/>
      <c r="AF3" s="31"/>
      <c r="AG3" s="31"/>
      <c r="AH3" s="31"/>
      <c r="AI3" s="352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52"/>
    </row>
    <row r="4" spans="1:47" ht="15" customHeight="1" thickTop="1" x14ac:dyDescent="0.2">
      <c r="AT4" s="220"/>
      <c r="AU4" s="220"/>
    </row>
    <row r="5" spans="1:47" s="206" customFormat="1" ht="15" customHeight="1" x14ac:dyDescent="0.2">
      <c r="A5" s="75"/>
      <c r="B5" s="313"/>
      <c r="C5" s="16"/>
      <c r="D5" s="317">
        <v>2014</v>
      </c>
      <c r="E5" s="324"/>
      <c r="F5" s="325" t="str">
        <f>IF(Contents!$A$1=2,"1Q","1 кв")</f>
        <v>1 кв</v>
      </c>
      <c r="G5" s="325" t="str">
        <f>IF(Contents!$A$1=2,"2Q","2 кв")</f>
        <v>2 кв</v>
      </c>
      <c r="H5" s="325" t="str">
        <f>IF(Contents!$A$1=2,"3Q","3 кв")</f>
        <v>3 кв</v>
      </c>
      <c r="I5" s="325" t="str">
        <f>IF(Contents!$A$1=2,"4Q","4 кв")</f>
        <v>4 кв</v>
      </c>
      <c r="J5" s="317">
        <v>2015</v>
      </c>
      <c r="K5" s="324"/>
      <c r="L5" s="325" t="str">
        <f>IF(Contents!$A$1=2,"1Q","1 кв")</f>
        <v>1 кв</v>
      </c>
      <c r="M5" s="325" t="str">
        <f>IF(Contents!$A$1=2,"2Q","2 кв")</f>
        <v>2 кв</v>
      </c>
      <c r="N5" s="325" t="str">
        <f>IF(Contents!$A$1=2,"3Q","3 кв")</f>
        <v>3 кв</v>
      </c>
      <c r="O5" s="325" t="str">
        <f>IF(Contents!$A$1=2,"4Q","4 кв")</f>
        <v>4 кв</v>
      </c>
      <c r="P5" s="317">
        <v>2016</v>
      </c>
      <c r="Q5" s="324"/>
      <c r="R5" s="325" t="str">
        <f>IF(Contents!$A$1=2,"1Q","1 кв")</f>
        <v>1 кв</v>
      </c>
      <c r="S5" s="325" t="str">
        <f>IF(Contents!$A$1=2,"2Q","2 кв")</f>
        <v>2 кв</v>
      </c>
      <c r="T5" s="325" t="str">
        <f>IF(Contents!$A$1=2,"3Q","3 кв")</f>
        <v>3 кв</v>
      </c>
      <c r="U5" s="325" t="str">
        <f>IF(Contents!$A$1=2,"4Q","4 кв")</f>
        <v>4 кв</v>
      </c>
      <c r="V5" s="326">
        <v>2017</v>
      </c>
      <c r="W5" s="328"/>
      <c r="X5" s="325" t="str">
        <f>IF(Contents!$A$1=2,"1Q","1 кв")</f>
        <v>1 кв</v>
      </c>
      <c r="Y5" s="325" t="str">
        <f>IF(Contents!$A$1=2,"2Q","2 кв")</f>
        <v>2 кв</v>
      </c>
      <c r="Z5" s="325" t="str">
        <f>IF(Contents!$A$1=2,"3Q","3 кв")</f>
        <v>3 кв</v>
      </c>
      <c r="AA5" s="325" t="str">
        <f>IF(Contents!$A$1=2,"4Q","4 кв")</f>
        <v>4 кв</v>
      </c>
      <c r="AB5" s="326">
        <v>2018</v>
      </c>
      <c r="AC5" s="328"/>
      <c r="AD5" s="325" t="str">
        <f>IF(Contents!$A$1=2,"1Q","1 кв")</f>
        <v>1 кв</v>
      </c>
      <c r="AE5" s="325" t="str">
        <f>IF(Contents!$A$1=2,"2Q","2 кв")</f>
        <v>2 кв</v>
      </c>
      <c r="AF5" s="325" t="str">
        <f>IF(Contents!$A$1=2,"3Q","3 кв")</f>
        <v>3 кв</v>
      </c>
      <c r="AG5" s="325" t="str">
        <f>IF(Contents!$A$1=2,"4Q","4 кв")</f>
        <v>4 кв</v>
      </c>
      <c r="AH5" s="326">
        <v>2019</v>
      </c>
      <c r="AI5" s="328"/>
      <c r="AJ5" s="325" t="str">
        <f>IF(Contents!$A$1=2,"1Q","1 кв")</f>
        <v>1 кв</v>
      </c>
      <c r="AK5" s="325" t="str">
        <f>IF(Contents!$A$1=2,"2Q","2 кв")</f>
        <v>2 кв</v>
      </c>
      <c r="AL5" s="325" t="str">
        <f>IF(Contents!$A$1=2,"3Q","3 кв")</f>
        <v>3 кв</v>
      </c>
      <c r="AM5" s="325" t="str">
        <f>IF(Contents!$A$1=2,"4Q","4 кв")</f>
        <v>4 кв</v>
      </c>
      <c r="AN5" s="326">
        <v>2020</v>
      </c>
      <c r="AO5" s="328"/>
      <c r="AP5" s="98" t="str">
        <f>IF(Contents!$A$1=2,"1Q","1 кв")</f>
        <v>1 кв</v>
      </c>
      <c r="AQ5" s="98" t="str">
        <f>IF(Contents!$A$1=2,"2Q","2 кв")</f>
        <v>2 кв</v>
      </c>
      <c r="AR5" s="98" t="str">
        <f>IF(Contents!$A$1=2,"3Q","3 кв")</f>
        <v>3 кв</v>
      </c>
      <c r="AS5" s="98" t="str">
        <f>IF(Contents!$A$1=2,"4Q","4 кв")</f>
        <v>4 кв</v>
      </c>
      <c r="AT5" s="149">
        <v>2021</v>
      </c>
      <c r="AU5" s="328"/>
    </row>
    <row r="6" spans="1:47" s="16" customFormat="1" ht="15" customHeight="1" x14ac:dyDescent="0.2">
      <c r="A6" s="370" t="str">
        <f>IF(Contents!$A$1=2,"EBITDA of Exploration and production segment","EBITDA сегмента «Разведка и добыча»")</f>
        <v>EBITDA сегмента «Разведка и добыча»</v>
      </c>
      <c r="B6" s="308" t="str">
        <f>IF(Contents!$A$1=2,"mln RUB","млн руб.")</f>
        <v>млн руб.</v>
      </c>
      <c r="C6" s="119"/>
      <c r="D6" s="426">
        <v>0</v>
      </c>
      <c r="E6" s="426"/>
      <c r="F6" s="426">
        <v>0</v>
      </c>
      <c r="G6" s="426">
        <v>0</v>
      </c>
      <c r="H6" s="426">
        <v>0</v>
      </c>
      <c r="I6" s="426">
        <v>0</v>
      </c>
      <c r="J6" s="426">
        <v>0</v>
      </c>
      <c r="K6" s="426"/>
      <c r="L6" s="426">
        <v>129586</v>
      </c>
      <c r="M6" s="426">
        <v>138227</v>
      </c>
      <c r="N6" s="426">
        <v>111791</v>
      </c>
      <c r="O6" s="426">
        <v>141586</v>
      </c>
      <c r="P6" s="426">
        <v>521190</v>
      </c>
      <c r="Q6" s="418"/>
      <c r="R6" s="426">
        <v>127777</v>
      </c>
      <c r="S6" s="426">
        <v>113587</v>
      </c>
      <c r="T6" s="426">
        <v>155092</v>
      </c>
      <c r="U6" s="426">
        <v>172961</v>
      </c>
      <c r="V6" s="426">
        <v>569417</v>
      </c>
      <c r="W6" s="426"/>
      <c r="X6" s="426">
        <v>171918</v>
      </c>
      <c r="Y6" s="426">
        <v>239699</v>
      </c>
      <c r="Z6" s="426">
        <v>268631</v>
      </c>
      <c r="AA6" s="426">
        <v>190039</v>
      </c>
      <c r="AB6" s="426">
        <v>870287</v>
      </c>
      <c r="AC6" s="426"/>
      <c r="AD6" s="426">
        <v>235132</v>
      </c>
      <c r="AE6" s="426">
        <v>235074</v>
      </c>
      <c r="AF6" s="426">
        <v>211958</v>
      </c>
      <c r="AG6" s="426">
        <v>211786</v>
      </c>
      <c r="AH6" s="426">
        <v>893950</v>
      </c>
      <c r="AI6" s="426"/>
      <c r="AJ6" s="426">
        <v>109189</v>
      </c>
      <c r="AK6" s="426">
        <v>72346</v>
      </c>
      <c r="AL6" s="426">
        <v>151979</v>
      </c>
      <c r="AM6" s="426">
        <v>166567</v>
      </c>
      <c r="AN6" s="426">
        <v>500081</v>
      </c>
      <c r="AO6" s="426"/>
      <c r="AP6" s="426">
        <v>223793</v>
      </c>
      <c r="AQ6" s="426">
        <v>220904</v>
      </c>
      <c r="AR6" s="426">
        <v>245036</v>
      </c>
      <c r="AS6" s="426">
        <v>296522</v>
      </c>
      <c r="AT6" s="426">
        <v>986255</v>
      </c>
      <c r="AU6" s="150"/>
    </row>
    <row r="7" spans="1:47" s="16" customFormat="1" ht="15" customHeight="1" x14ac:dyDescent="0.2">
      <c r="A7" s="367" t="str">
        <f>IF(Contents!$A$1=2,"in Russia","в России")</f>
        <v>в России</v>
      </c>
      <c r="B7" s="280" t="str">
        <f>IF(Contents!$A$1=2,"mln RUB","млн руб.")</f>
        <v>млн руб.</v>
      </c>
      <c r="D7" s="418">
        <v>0</v>
      </c>
      <c r="E7" s="418"/>
      <c r="F7" s="418">
        <v>0</v>
      </c>
      <c r="G7" s="418">
        <v>0</v>
      </c>
      <c r="H7" s="418">
        <v>0</v>
      </c>
      <c r="I7" s="418">
        <v>0</v>
      </c>
      <c r="J7" s="418">
        <v>0</v>
      </c>
      <c r="K7" s="418"/>
      <c r="L7" s="418">
        <v>97688</v>
      </c>
      <c r="M7" s="418">
        <v>124867</v>
      </c>
      <c r="N7" s="418">
        <v>99904</v>
      </c>
      <c r="O7" s="418">
        <v>123257</v>
      </c>
      <c r="P7" s="418">
        <v>445716</v>
      </c>
      <c r="Q7" s="418"/>
      <c r="R7" s="418">
        <v>112059</v>
      </c>
      <c r="S7" s="418">
        <v>95679</v>
      </c>
      <c r="T7" s="418">
        <v>133637</v>
      </c>
      <c r="U7" s="418">
        <v>149816</v>
      </c>
      <c r="V7" s="418">
        <v>491191</v>
      </c>
      <c r="W7" s="418"/>
      <c r="X7" s="418">
        <v>144657</v>
      </c>
      <c r="Y7" s="418">
        <v>203525</v>
      </c>
      <c r="Z7" s="418">
        <v>220313</v>
      </c>
      <c r="AA7" s="418">
        <v>148749</v>
      </c>
      <c r="AB7" s="418">
        <v>717244</v>
      </c>
      <c r="AC7" s="418"/>
      <c r="AD7" s="418">
        <v>192395</v>
      </c>
      <c r="AE7" s="418">
        <v>193730</v>
      </c>
      <c r="AF7" s="418">
        <v>169844</v>
      </c>
      <c r="AG7" s="418">
        <v>173108</v>
      </c>
      <c r="AH7" s="418">
        <v>729077</v>
      </c>
      <c r="AI7" s="418"/>
      <c r="AJ7" s="418">
        <v>73570</v>
      </c>
      <c r="AK7" s="418">
        <v>63931</v>
      </c>
      <c r="AL7" s="418">
        <v>136108</v>
      </c>
      <c r="AM7" s="418">
        <v>147964</v>
      </c>
      <c r="AN7" s="418">
        <v>421573</v>
      </c>
      <c r="AO7" s="418"/>
      <c r="AP7" s="418">
        <v>186970</v>
      </c>
      <c r="AQ7" s="418">
        <v>193379</v>
      </c>
      <c r="AR7" s="418">
        <v>206932</v>
      </c>
      <c r="AS7" s="418">
        <v>234633</v>
      </c>
      <c r="AT7" s="418">
        <v>821914</v>
      </c>
      <c r="AU7" s="152"/>
    </row>
    <row r="8" spans="1:47" s="16" customFormat="1" ht="15" customHeight="1" x14ac:dyDescent="0.2">
      <c r="A8" s="229" t="str">
        <f>IF(Contents!$A$1=2,"outside Russia and Iraq","за рубежом, кроме Ирака")</f>
        <v>за рубежом, кроме Ирака</v>
      </c>
      <c r="B8" s="280" t="str">
        <f>IF(Contents!$A$1=2,"mln RUB","млн руб.")</f>
        <v>млн руб.</v>
      </c>
      <c r="D8" s="418">
        <v>0</v>
      </c>
      <c r="E8" s="418"/>
      <c r="F8" s="418">
        <v>0</v>
      </c>
      <c r="G8" s="418">
        <v>0</v>
      </c>
      <c r="H8" s="418">
        <v>0</v>
      </c>
      <c r="I8" s="418">
        <v>0</v>
      </c>
      <c r="J8" s="418">
        <v>0</v>
      </c>
      <c r="K8" s="418"/>
      <c r="L8" s="418">
        <v>0</v>
      </c>
      <c r="M8" s="418">
        <v>0</v>
      </c>
      <c r="N8" s="418">
        <v>0</v>
      </c>
      <c r="O8" s="418">
        <v>0</v>
      </c>
      <c r="P8" s="418">
        <v>0</v>
      </c>
      <c r="Q8" s="418"/>
      <c r="R8" s="418">
        <v>0</v>
      </c>
      <c r="S8" s="418">
        <v>0</v>
      </c>
      <c r="T8" s="418">
        <v>0</v>
      </c>
      <c r="U8" s="418">
        <v>0</v>
      </c>
      <c r="V8" s="418">
        <v>61038</v>
      </c>
      <c r="W8" s="418"/>
      <c r="X8" s="418">
        <v>21526</v>
      </c>
      <c r="Y8" s="418">
        <v>29877</v>
      </c>
      <c r="Z8" s="418">
        <v>39174</v>
      </c>
      <c r="AA8" s="418">
        <v>37036</v>
      </c>
      <c r="AB8" s="418">
        <v>127613</v>
      </c>
      <c r="AC8" s="418"/>
      <c r="AD8" s="418">
        <v>37625</v>
      </c>
      <c r="AE8" s="418">
        <v>33550</v>
      </c>
      <c r="AF8" s="418">
        <v>35435</v>
      </c>
      <c r="AG8" s="418">
        <v>36573</v>
      </c>
      <c r="AH8" s="418">
        <v>143183</v>
      </c>
      <c r="AI8" s="418"/>
      <c r="AJ8" s="418">
        <v>24207</v>
      </c>
      <c r="AK8" s="418">
        <v>1162</v>
      </c>
      <c r="AL8" s="418">
        <v>9656</v>
      </c>
      <c r="AM8" s="418">
        <v>11487</v>
      </c>
      <c r="AN8" s="418">
        <v>46512</v>
      </c>
      <c r="AO8" s="418"/>
      <c r="AP8" s="418">
        <v>24749</v>
      </c>
      <c r="AQ8" s="418">
        <v>21579</v>
      </c>
      <c r="AR8" s="418">
        <v>30366</v>
      </c>
      <c r="AS8" s="418">
        <v>44316</v>
      </c>
      <c r="AT8" s="418">
        <v>121010</v>
      </c>
      <c r="AU8" s="152"/>
    </row>
    <row r="9" spans="1:47" s="16" customFormat="1" ht="15" customHeight="1" x14ac:dyDescent="0.2">
      <c r="A9" s="229" t="str">
        <f>IF(Contents!$A$1=2,"in Iraq","в Ираке")</f>
        <v>в Ираке</v>
      </c>
      <c r="B9" s="280" t="str">
        <f>IF(Contents!$A$1=2,"mln RUB","млн руб.")</f>
        <v>млн руб.</v>
      </c>
      <c r="D9" s="418">
        <v>0</v>
      </c>
      <c r="E9" s="418"/>
      <c r="F9" s="418">
        <v>0</v>
      </c>
      <c r="G9" s="418">
        <v>0</v>
      </c>
      <c r="H9" s="418">
        <v>0</v>
      </c>
      <c r="I9" s="418">
        <v>0</v>
      </c>
      <c r="J9" s="418">
        <v>0</v>
      </c>
      <c r="K9" s="418"/>
      <c r="L9" s="418">
        <v>0</v>
      </c>
      <c r="M9" s="418">
        <v>0</v>
      </c>
      <c r="N9" s="418">
        <v>0</v>
      </c>
      <c r="O9" s="418">
        <v>0</v>
      </c>
      <c r="P9" s="418">
        <v>0</v>
      </c>
      <c r="Q9" s="418"/>
      <c r="R9" s="418">
        <v>0</v>
      </c>
      <c r="S9" s="418">
        <v>0</v>
      </c>
      <c r="T9" s="418">
        <v>0</v>
      </c>
      <c r="U9" s="418">
        <v>0</v>
      </c>
      <c r="V9" s="418">
        <v>17188</v>
      </c>
      <c r="W9" s="418"/>
      <c r="X9" s="418">
        <v>5735</v>
      </c>
      <c r="Y9" s="418">
        <v>6297</v>
      </c>
      <c r="Z9" s="418">
        <v>9144</v>
      </c>
      <c r="AA9" s="418">
        <v>4254</v>
      </c>
      <c r="AB9" s="418">
        <v>25430</v>
      </c>
      <c r="AC9" s="418"/>
      <c r="AD9" s="418">
        <v>5112</v>
      </c>
      <c r="AE9" s="418">
        <v>7794</v>
      </c>
      <c r="AF9" s="418">
        <v>6679</v>
      </c>
      <c r="AG9" s="418">
        <v>2105</v>
      </c>
      <c r="AH9" s="418">
        <v>21690</v>
      </c>
      <c r="AI9" s="418"/>
      <c r="AJ9" s="418">
        <v>11412</v>
      </c>
      <c r="AK9" s="418">
        <v>7253</v>
      </c>
      <c r="AL9" s="418">
        <v>6215</v>
      </c>
      <c r="AM9" s="418">
        <v>7116</v>
      </c>
      <c r="AN9" s="418">
        <v>31996</v>
      </c>
      <c r="AO9" s="418"/>
      <c r="AP9" s="418">
        <v>12074</v>
      </c>
      <c r="AQ9" s="418">
        <v>5946</v>
      </c>
      <c r="AR9" s="418">
        <v>7738</v>
      </c>
      <c r="AS9" s="418">
        <v>17573</v>
      </c>
      <c r="AT9" s="418">
        <v>43331</v>
      </c>
      <c r="AU9" s="152"/>
    </row>
    <row r="10" spans="1:47" s="16" customFormat="1" ht="15" customHeight="1" x14ac:dyDescent="0.2">
      <c r="A10" s="124" t="str">
        <f>IF(Contents!$A$1=2,"EBITDA of Refining, marketing and distribution segment","EBITDA сегмента «Переработка, торговля и сбыт»")</f>
        <v>EBITDA сегмента «Переработка, торговля и сбыт»</v>
      </c>
      <c r="B10" s="308" t="str">
        <f>IF(Contents!$A$1=2,"mln RUB","млн руб.")</f>
        <v>млн руб.</v>
      </c>
      <c r="C10" s="146"/>
      <c r="D10" s="426">
        <v>0</v>
      </c>
      <c r="E10" s="426"/>
      <c r="F10" s="426">
        <v>0</v>
      </c>
      <c r="G10" s="426">
        <v>0</v>
      </c>
      <c r="H10" s="426">
        <v>0</v>
      </c>
      <c r="I10" s="426">
        <v>0</v>
      </c>
      <c r="J10" s="426">
        <v>0</v>
      </c>
      <c r="K10" s="426"/>
      <c r="L10" s="426">
        <v>63510</v>
      </c>
      <c r="M10" s="426">
        <v>51643</v>
      </c>
      <c r="N10" s="426">
        <v>60551</v>
      </c>
      <c r="O10" s="426">
        <v>57593</v>
      </c>
      <c r="P10" s="426">
        <v>233297</v>
      </c>
      <c r="Q10" s="426"/>
      <c r="R10" s="426">
        <v>70527</v>
      </c>
      <c r="S10" s="426">
        <v>62468</v>
      </c>
      <c r="T10" s="426">
        <v>81381</v>
      </c>
      <c r="U10" s="426">
        <v>49009</v>
      </c>
      <c r="V10" s="426">
        <v>263385</v>
      </c>
      <c r="W10" s="426"/>
      <c r="X10" s="426">
        <v>46849</v>
      </c>
      <c r="Y10" s="426">
        <v>71620</v>
      </c>
      <c r="Z10" s="426">
        <v>82189</v>
      </c>
      <c r="AA10" s="426">
        <v>81486</v>
      </c>
      <c r="AB10" s="426">
        <v>282144</v>
      </c>
      <c r="AC10" s="426"/>
      <c r="AD10" s="426">
        <v>79938</v>
      </c>
      <c r="AE10" s="426">
        <v>93167</v>
      </c>
      <c r="AF10" s="426">
        <v>116380</v>
      </c>
      <c r="AG10" s="426">
        <v>82157</v>
      </c>
      <c r="AH10" s="426">
        <v>371642</v>
      </c>
      <c r="AI10" s="426"/>
      <c r="AJ10" s="426">
        <v>40291</v>
      </c>
      <c r="AK10" s="426">
        <v>78744</v>
      </c>
      <c r="AL10" s="426">
        <v>77638</v>
      </c>
      <c r="AM10" s="426">
        <v>46649</v>
      </c>
      <c r="AN10" s="426">
        <v>243322</v>
      </c>
      <c r="AO10" s="426"/>
      <c r="AP10" s="426">
        <v>120210</v>
      </c>
      <c r="AQ10" s="426">
        <v>126947</v>
      </c>
      <c r="AR10" s="426">
        <v>125757</v>
      </c>
      <c r="AS10" s="426">
        <v>114380</v>
      </c>
      <c r="AT10" s="426">
        <v>487294</v>
      </c>
      <c r="AU10" s="152"/>
    </row>
    <row r="11" spans="1:47" s="16" customFormat="1" ht="15" customHeight="1" x14ac:dyDescent="0.2">
      <c r="A11" s="367" t="str">
        <f>IF(Contents!$A$1=2,"in Russia","в России")</f>
        <v>в России</v>
      </c>
      <c r="B11" s="280" t="str">
        <f>IF(Contents!$A$1=2,"mln RUB","млн руб.")</f>
        <v>млн руб.</v>
      </c>
      <c r="D11" s="418">
        <v>0</v>
      </c>
      <c r="E11" s="418"/>
      <c r="F11" s="418">
        <v>0</v>
      </c>
      <c r="G11" s="418">
        <v>0</v>
      </c>
      <c r="H11" s="418">
        <v>0</v>
      </c>
      <c r="I11" s="418">
        <v>0</v>
      </c>
      <c r="J11" s="418">
        <v>0</v>
      </c>
      <c r="K11" s="418"/>
      <c r="L11" s="418">
        <v>43893</v>
      </c>
      <c r="M11" s="418">
        <v>28743</v>
      </c>
      <c r="N11" s="418">
        <v>43495</v>
      </c>
      <c r="O11" s="418">
        <v>46316</v>
      </c>
      <c r="P11" s="418">
        <v>162447</v>
      </c>
      <c r="Q11" s="418"/>
      <c r="R11" s="418">
        <v>37847</v>
      </c>
      <c r="S11" s="418">
        <v>55800</v>
      </c>
      <c r="T11" s="418">
        <v>62565</v>
      </c>
      <c r="U11" s="418">
        <v>39267</v>
      </c>
      <c r="V11" s="418">
        <v>195479</v>
      </c>
      <c r="W11" s="418"/>
      <c r="X11" s="418">
        <v>42299</v>
      </c>
      <c r="Y11" s="418">
        <v>52695</v>
      </c>
      <c r="Z11" s="418">
        <v>59318</v>
      </c>
      <c r="AA11" s="418">
        <v>77519</v>
      </c>
      <c r="AB11" s="418">
        <v>231831</v>
      </c>
      <c r="AC11" s="418"/>
      <c r="AD11" s="418">
        <v>73887</v>
      </c>
      <c r="AE11" s="418">
        <v>67972</v>
      </c>
      <c r="AF11" s="418">
        <v>87693</v>
      </c>
      <c r="AG11" s="418">
        <v>71584</v>
      </c>
      <c r="AH11" s="418">
        <v>301136</v>
      </c>
      <c r="AI11" s="418"/>
      <c r="AJ11" s="418">
        <v>61757</v>
      </c>
      <c r="AK11" s="418">
        <v>33066</v>
      </c>
      <c r="AL11" s="418">
        <v>42357</v>
      </c>
      <c r="AM11" s="418">
        <v>43573</v>
      </c>
      <c r="AN11" s="418">
        <v>180753</v>
      </c>
      <c r="AO11" s="418"/>
      <c r="AP11" s="418">
        <v>66614</v>
      </c>
      <c r="AQ11" s="418">
        <v>85013</v>
      </c>
      <c r="AR11" s="418">
        <v>107875</v>
      </c>
      <c r="AS11" s="418">
        <v>111181</v>
      </c>
      <c r="AT11" s="418">
        <v>370683</v>
      </c>
      <c r="AU11" s="152"/>
    </row>
    <row r="12" spans="1:47" s="16" customFormat="1" ht="15" customHeight="1" x14ac:dyDescent="0.2">
      <c r="A12" s="229" t="str">
        <f>IF(Contents!$A$1=2,"outside Russia","за рубежом")</f>
        <v>за рубежом</v>
      </c>
      <c r="B12" s="280" t="str">
        <f>IF(Contents!$A$1=2,"mln RUB","млн руб.")</f>
        <v>млн руб.</v>
      </c>
      <c r="D12" s="418">
        <v>0</v>
      </c>
      <c r="E12" s="418"/>
      <c r="F12" s="418">
        <v>0</v>
      </c>
      <c r="G12" s="418">
        <v>0</v>
      </c>
      <c r="H12" s="418">
        <v>0</v>
      </c>
      <c r="I12" s="418">
        <v>0</v>
      </c>
      <c r="J12" s="418">
        <v>0</v>
      </c>
      <c r="K12" s="418"/>
      <c r="L12" s="418">
        <v>19617</v>
      </c>
      <c r="M12" s="418">
        <v>22900</v>
      </c>
      <c r="N12" s="418">
        <v>17056</v>
      </c>
      <c r="O12" s="418">
        <v>11277</v>
      </c>
      <c r="P12" s="418">
        <v>70850</v>
      </c>
      <c r="Q12" s="418"/>
      <c r="R12" s="418">
        <v>32680</v>
      </c>
      <c r="S12" s="418">
        <v>6668</v>
      </c>
      <c r="T12" s="418">
        <v>18816</v>
      </c>
      <c r="U12" s="418">
        <v>9742</v>
      </c>
      <c r="V12" s="418">
        <v>67906</v>
      </c>
      <c r="W12" s="418"/>
      <c r="X12" s="418">
        <v>4550</v>
      </c>
      <c r="Y12" s="418">
        <v>18925</v>
      </c>
      <c r="Z12" s="418">
        <v>22871</v>
      </c>
      <c r="AA12" s="418">
        <v>3967</v>
      </c>
      <c r="AB12" s="418">
        <v>50313</v>
      </c>
      <c r="AC12" s="418"/>
      <c r="AD12" s="418">
        <v>6051</v>
      </c>
      <c r="AE12" s="418">
        <v>25195</v>
      </c>
      <c r="AF12" s="418">
        <v>28687</v>
      </c>
      <c r="AG12" s="418">
        <v>10573</v>
      </c>
      <c r="AH12" s="418">
        <v>70506</v>
      </c>
      <c r="AI12" s="418"/>
      <c r="AJ12" s="418">
        <v>-21466</v>
      </c>
      <c r="AK12" s="418">
        <v>45678</v>
      </c>
      <c r="AL12" s="418">
        <v>35281</v>
      </c>
      <c r="AM12" s="418">
        <v>3076</v>
      </c>
      <c r="AN12" s="418">
        <v>62569</v>
      </c>
      <c r="AO12" s="418"/>
      <c r="AP12" s="418">
        <v>53596</v>
      </c>
      <c r="AQ12" s="418">
        <v>41934</v>
      </c>
      <c r="AR12" s="418">
        <v>17882</v>
      </c>
      <c r="AS12" s="418">
        <v>3199</v>
      </c>
      <c r="AT12" s="418">
        <v>116611</v>
      </c>
      <c r="AU12" s="152"/>
    </row>
    <row r="13" spans="1:47" s="16" customFormat="1" ht="15" customHeight="1" x14ac:dyDescent="0.2">
      <c r="A13" s="124" t="str">
        <f>IF(Contents!$A$1=2,"EBITDA of Corporate and other segment","EBITDA сегмента «Корпоративный центр»")</f>
        <v>EBITDA сегмента «Корпоративный центр»</v>
      </c>
      <c r="B13" s="308" t="str">
        <f>IF(Contents!$A$1=2,"mln RUB","млн руб.")</f>
        <v>млн руб.</v>
      </c>
      <c r="D13" s="426">
        <v>0</v>
      </c>
      <c r="E13" s="426"/>
      <c r="F13" s="426">
        <v>0</v>
      </c>
      <c r="G13" s="426">
        <v>0</v>
      </c>
      <c r="H13" s="426">
        <v>0</v>
      </c>
      <c r="I13" s="426">
        <v>0</v>
      </c>
      <c r="J13" s="426">
        <v>0</v>
      </c>
      <c r="K13" s="426"/>
      <c r="L13" s="426">
        <v>2001</v>
      </c>
      <c r="M13" s="426">
        <v>-2279</v>
      </c>
      <c r="N13" s="426">
        <v>-10856</v>
      </c>
      <c r="O13" s="426">
        <v>-7137</v>
      </c>
      <c r="P13" s="426">
        <v>-18271</v>
      </c>
      <c r="Q13" s="426"/>
      <c r="R13" s="426">
        <v>3883</v>
      </c>
      <c r="S13" s="426">
        <v>-2476</v>
      </c>
      <c r="T13" s="426">
        <v>-6075</v>
      </c>
      <c r="U13" s="426">
        <v>5696</v>
      </c>
      <c r="V13" s="426">
        <v>1028</v>
      </c>
      <c r="W13" s="426"/>
      <c r="X13" s="426">
        <v>519</v>
      </c>
      <c r="Y13" s="426">
        <v>-3724</v>
      </c>
      <c r="Z13" s="426">
        <v>-23404</v>
      </c>
      <c r="AA13" s="426">
        <v>-9545</v>
      </c>
      <c r="AB13" s="426">
        <v>-36154</v>
      </c>
      <c r="AC13" s="426"/>
      <c r="AD13" s="426">
        <v>-7068</v>
      </c>
      <c r="AE13" s="426">
        <v>-8671</v>
      </c>
      <c r="AF13" s="426">
        <v>-10544</v>
      </c>
      <c r="AG13" s="426">
        <v>-13679</v>
      </c>
      <c r="AH13" s="426">
        <v>-39962</v>
      </c>
      <c r="AI13" s="426"/>
      <c r="AJ13" s="426">
        <v>-10689</v>
      </c>
      <c r="AK13" s="426">
        <v>-5441</v>
      </c>
      <c r="AL13" s="426">
        <v>-12619</v>
      </c>
      <c r="AM13" s="426">
        <v>-10629</v>
      </c>
      <c r="AN13" s="426">
        <v>-39378</v>
      </c>
      <c r="AO13" s="426"/>
      <c r="AP13" s="426">
        <v>-11009</v>
      </c>
      <c r="AQ13" s="426">
        <v>-14323</v>
      </c>
      <c r="AR13" s="426">
        <v>-12709</v>
      </c>
      <c r="AS13" s="426">
        <v>-12167</v>
      </c>
      <c r="AT13" s="426">
        <v>-50208</v>
      </c>
      <c r="AU13" s="150"/>
    </row>
    <row r="14" spans="1:47" s="206" customFormat="1" ht="15" customHeight="1" x14ac:dyDescent="0.2">
      <c r="A14" s="361" t="str">
        <f>IF(Contents!$A$1=2,"Elimination","Элиминации")</f>
        <v>Элиминации</v>
      </c>
      <c r="B14" s="308" t="str">
        <f>IF(Contents!$A$1=2,"mln RUB","млн руб.")</f>
        <v>млн руб.</v>
      </c>
      <c r="C14" s="16"/>
      <c r="D14" s="426">
        <v>0</v>
      </c>
      <c r="E14" s="426"/>
      <c r="F14" s="426">
        <v>0</v>
      </c>
      <c r="G14" s="426">
        <v>0</v>
      </c>
      <c r="H14" s="426">
        <v>0</v>
      </c>
      <c r="I14" s="426">
        <v>0</v>
      </c>
      <c r="J14" s="426">
        <v>0</v>
      </c>
      <c r="K14" s="426"/>
      <c r="L14" s="426">
        <v>-3105</v>
      </c>
      <c r="M14" s="426">
        <v>1980</v>
      </c>
      <c r="N14" s="426">
        <v>4404</v>
      </c>
      <c r="O14" s="426">
        <v>-8764</v>
      </c>
      <c r="P14" s="426">
        <v>-5485</v>
      </c>
      <c r="Q14" s="426"/>
      <c r="R14" s="426">
        <v>5458</v>
      </c>
      <c r="S14" s="426">
        <v>5465</v>
      </c>
      <c r="T14" s="426">
        <v>-9252</v>
      </c>
      <c r="U14" s="426">
        <v>-3931</v>
      </c>
      <c r="V14" s="426">
        <v>-2260</v>
      </c>
      <c r="W14" s="426"/>
      <c r="X14" s="426">
        <v>238</v>
      </c>
      <c r="Y14" s="426">
        <v>-12444</v>
      </c>
      <c r="Z14" s="426">
        <v>-5606</v>
      </c>
      <c r="AA14" s="426">
        <v>16335</v>
      </c>
      <c r="AB14" s="426">
        <v>-1477</v>
      </c>
      <c r="AC14" s="426"/>
      <c r="AD14" s="426">
        <v>-9945</v>
      </c>
      <c r="AE14" s="426">
        <v>12600</v>
      </c>
      <c r="AF14" s="426">
        <v>10011</v>
      </c>
      <c r="AG14" s="426">
        <v>-2104</v>
      </c>
      <c r="AH14" s="426">
        <v>10562</v>
      </c>
      <c r="AI14" s="426"/>
      <c r="AJ14" s="426">
        <v>12052</v>
      </c>
      <c r="AK14" s="426">
        <v>-1233</v>
      </c>
      <c r="AL14" s="426">
        <v>-14775</v>
      </c>
      <c r="AM14" s="426">
        <v>-12975</v>
      </c>
      <c r="AN14" s="426">
        <v>-16931</v>
      </c>
      <c r="AO14" s="426"/>
      <c r="AP14" s="426">
        <v>-18614</v>
      </c>
      <c r="AQ14" s="426">
        <v>6314</v>
      </c>
      <c r="AR14" s="426">
        <v>-2908</v>
      </c>
      <c r="AS14" s="426">
        <v>-3722</v>
      </c>
      <c r="AT14" s="426">
        <v>-18930</v>
      </c>
      <c r="AU14" s="150"/>
    </row>
    <row r="15" spans="1:47" s="206" customFormat="1" ht="15" customHeight="1" x14ac:dyDescent="0.2">
      <c r="A15" s="207" t="str">
        <f>IF(Contents!$A$1=2,"EBITDA","EBITDA")</f>
        <v>EBITDA</v>
      </c>
      <c r="B15" s="315" t="str">
        <f>IF(Contents!$A$1=2,"mln RUB","млн руб.")</f>
        <v>млн руб.</v>
      </c>
      <c r="C15" s="112"/>
      <c r="D15" s="462">
        <v>0</v>
      </c>
      <c r="E15" s="467"/>
      <c r="F15" s="462">
        <v>0</v>
      </c>
      <c r="G15" s="462">
        <v>0</v>
      </c>
      <c r="H15" s="462">
        <v>0</v>
      </c>
      <c r="I15" s="462">
        <v>0</v>
      </c>
      <c r="J15" s="462">
        <v>0</v>
      </c>
      <c r="K15" s="467"/>
      <c r="L15" s="462">
        <v>191992</v>
      </c>
      <c r="M15" s="462">
        <v>189571</v>
      </c>
      <c r="N15" s="462">
        <v>165890</v>
      </c>
      <c r="O15" s="462">
        <v>183278</v>
      </c>
      <c r="P15" s="462">
        <v>730731</v>
      </c>
      <c r="Q15" s="426"/>
      <c r="R15" s="462">
        <v>207645</v>
      </c>
      <c r="S15" s="462">
        <v>179044</v>
      </c>
      <c r="T15" s="462">
        <v>221146</v>
      </c>
      <c r="U15" s="462">
        <v>223735</v>
      </c>
      <c r="V15" s="462">
        <v>831570</v>
      </c>
      <c r="W15" s="426"/>
      <c r="X15" s="462">
        <v>219524</v>
      </c>
      <c r="Y15" s="462">
        <v>295151</v>
      </c>
      <c r="Z15" s="462">
        <v>321810</v>
      </c>
      <c r="AA15" s="462">
        <v>278315</v>
      </c>
      <c r="AB15" s="462">
        <v>1114800</v>
      </c>
      <c r="AC15" s="426"/>
      <c r="AD15" s="462">
        <v>298057</v>
      </c>
      <c r="AE15" s="462">
        <v>332170</v>
      </c>
      <c r="AF15" s="462">
        <v>327805</v>
      </c>
      <c r="AG15" s="462">
        <v>278160</v>
      </c>
      <c r="AH15" s="462">
        <v>1236192</v>
      </c>
      <c r="AI15" s="426"/>
      <c r="AJ15" s="462">
        <v>150843</v>
      </c>
      <c r="AK15" s="462">
        <v>144416</v>
      </c>
      <c r="AL15" s="462">
        <v>202223</v>
      </c>
      <c r="AM15" s="462">
        <v>189612</v>
      </c>
      <c r="AN15" s="462">
        <v>687094</v>
      </c>
      <c r="AO15" s="426"/>
      <c r="AP15" s="462">
        <v>314380</v>
      </c>
      <c r="AQ15" s="462">
        <v>339842</v>
      </c>
      <c r="AR15" s="462">
        <v>355176</v>
      </c>
      <c r="AS15" s="462">
        <v>395013</v>
      </c>
      <c r="AT15" s="462">
        <v>1404411</v>
      </c>
      <c r="AU15" s="150"/>
    </row>
    <row r="16" spans="1:47" s="206" customFormat="1" ht="15" customHeight="1" x14ac:dyDescent="0.2">
      <c r="A16" s="124"/>
      <c r="B16" s="275"/>
      <c r="C16" s="112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48" s="206" customFormat="1" ht="15" customHeight="1" x14ac:dyDescent="0.25">
      <c r="A17" s="129" t="str">
        <f>IF(Contents!$A$1=2,"EBITDA reconciliation","Сверка показателя EBITDA")</f>
        <v>Сверка показателя EBITDA</v>
      </c>
      <c r="B17" s="275"/>
      <c r="C17" s="112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48" s="206" customFormat="1" ht="15" customHeight="1" x14ac:dyDescent="0.2">
      <c r="A18" s="44"/>
      <c r="B18" s="275"/>
      <c r="C18" s="112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48" s="206" customFormat="1" ht="15" customHeight="1" x14ac:dyDescent="0.2">
      <c r="A19" s="75"/>
      <c r="B19" s="313"/>
      <c r="C19" s="16"/>
      <c r="D19" s="97">
        <v>2014</v>
      </c>
      <c r="E19" s="77"/>
      <c r="F19" s="98" t="str">
        <f>IF(Contents!$A$1=2,"1Q","1 кв")</f>
        <v>1 кв</v>
      </c>
      <c r="G19" s="98" t="str">
        <f>IF(Contents!$A$1=2,"2Q","2 кв")</f>
        <v>2 кв</v>
      </c>
      <c r="H19" s="98" t="str">
        <f>IF(Contents!$A$1=2,"3Q","3 кв")</f>
        <v>3 кв</v>
      </c>
      <c r="I19" s="98" t="str">
        <f>IF(Contents!$A$1=2,"4Q","4 кв")</f>
        <v>4 кв</v>
      </c>
      <c r="J19" s="97">
        <v>2015</v>
      </c>
      <c r="K19" s="77"/>
      <c r="L19" s="98" t="str">
        <f>IF(Contents!$A$1=2,"1Q","1 кв")</f>
        <v>1 кв</v>
      </c>
      <c r="M19" s="98" t="str">
        <f>IF(Contents!$A$1=2,"2Q","2 кв")</f>
        <v>2 кв</v>
      </c>
      <c r="N19" s="98" t="str">
        <f>IF(Contents!$A$1=2,"3Q","3 кв")</f>
        <v>3 кв</v>
      </c>
      <c r="O19" s="98" t="str">
        <f>IF(Contents!$A$1=2,"4Q","4 кв")</f>
        <v>4 кв</v>
      </c>
      <c r="P19" s="97">
        <v>2016</v>
      </c>
      <c r="Q19" s="77"/>
      <c r="R19" s="98" t="str">
        <f>IF(Contents!$A$1=2,"1Q","1 кв")</f>
        <v>1 кв</v>
      </c>
      <c r="S19" s="98" t="str">
        <f>IF(Contents!$A$1=2,"2Q","2 кв")</f>
        <v>2 кв</v>
      </c>
      <c r="T19" s="98" t="str">
        <f>IF(Contents!$A$1=2,"3Q","3 кв")</f>
        <v>3 кв</v>
      </c>
      <c r="U19" s="98" t="str">
        <f>IF(Contents!$A$1=2,"4Q","4 кв")</f>
        <v>4 кв</v>
      </c>
      <c r="V19" s="149">
        <v>2017</v>
      </c>
      <c r="W19" s="351"/>
      <c r="X19" s="98" t="str">
        <f>IF(Contents!$A$1=2,"1Q","1 кв")</f>
        <v>1 кв</v>
      </c>
      <c r="Y19" s="98" t="str">
        <f>IF(Contents!$A$1=2,"2Q","2 кв")</f>
        <v>2 кв</v>
      </c>
      <c r="Z19" s="98" t="str">
        <f>IF(Contents!$A$1=2,"3Q","3 кв")</f>
        <v>3 кв</v>
      </c>
      <c r="AA19" s="98" t="str">
        <f>IF(Contents!$A$1=2,"4Q","4 кв")</f>
        <v>4 кв</v>
      </c>
      <c r="AB19" s="149">
        <v>2018</v>
      </c>
      <c r="AC19" s="351"/>
      <c r="AD19" s="98" t="str">
        <f>IF(Contents!$A$1=2,"1Q","1 кв")</f>
        <v>1 кв</v>
      </c>
      <c r="AE19" s="98" t="str">
        <f>IF(Contents!$A$1=2,"2Q","2 кв")</f>
        <v>2 кв</v>
      </c>
      <c r="AF19" s="98" t="str">
        <f>IF(Contents!$A$1=2,"3Q","3 кв")</f>
        <v>3 кв</v>
      </c>
      <c r="AG19" s="98" t="str">
        <f>IF(Contents!$A$1=2,"4Q","4 кв")</f>
        <v>4 кв</v>
      </c>
      <c r="AH19" s="149">
        <v>2019</v>
      </c>
      <c r="AI19" s="351"/>
      <c r="AJ19" s="98" t="str">
        <f>IF(Contents!$A$1=2,"1Q","1 кв")</f>
        <v>1 кв</v>
      </c>
      <c r="AK19" s="98" t="str">
        <f>IF(Contents!$A$1=2,"2Q","2 кв")</f>
        <v>2 кв</v>
      </c>
      <c r="AL19" s="98" t="str">
        <f>IF(Contents!$A$1=2,"3Q","3 кв")</f>
        <v>3 кв</v>
      </c>
      <c r="AM19" s="98" t="str">
        <f>IF(Contents!$A$1=2,"4Q","4 кв")</f>
        <v>4 кв</v>
      </c>
      <c r="AN19" s="149">
        <v>2020</v>
      </c>
      <c r="AO19" s="351"/>
      <c r="AP19" s="98" t="str">
        <f>IF(Contents!$A$1=2,"1Q","1 кв")</f>
        <v>1 кв</v>
      </c>
      <c r="AQ19" s="98" t="str">
        <f>IF(Contents!$A$1=2,"2Q","2 кв")</f>
        <v>2 кв</v>
      </c>
      <c r="AR19" s="98" t="str">
        <f>IF(Contents!$A$1=2,"3Q","3 кв")</f>
        <v>3 кв</v>
      </c>
      <c r="AS19" s="98" t="str">
        <f>IF(Contents!$A$1=2,"4Q","4 кв")</f>
        <v>4 кв</v>
      </c>
      <c r="AT19" s="149">
        <v>2021</v>
      </c>
      <c r="AU19" s="351"/>
    </row>
    <row r="20" spans="1:48" s="206" customFormat="1" ht="15" customHeight="1" x14ac:dyDescent="0.2">
      <c r="A20" s="124" t="str">
        <f>IF(Contents!$A$1=2,"(Loss) profit for the period attributable to PJSC LUKOIL shareholders","Чистый убыток (чистая прибыль), относящиеся к акционерам
ПАО «ЛУКОЙЛ»")</f>
        <v>Чистый убыток (чистая прибыль), относящиеся к акционерам
ПАО «ЛУКОЙЛ»</v>
      </c>
      <c r="B20" s="271" t="str">
        <f>IF(Contents!$A$1=2,"mln RUB","млн руб.")</f>
        <v>млн руб.</v>
      </c>
      <c r="C20" s="123"/>
      <c r="D20" s="470">
        <v>395525</v>
      </c>
      <c r="E20" s="470"/>
      <c r="F20" s="470">
        <v>104031</v>
      </c>
      <c r="G20" s="470">
        <v>63748</v>
      </c>
      <c r="H20" s="470">
        <v>188393</v>
      </c>
      <c r="I20" s="470">
        <v>-65037</v>
      </c>
      <c r="J20" s="470">
        <v>291135</v>
      </c>
      <c r="K20" s="528"/>
      <c r="L20" s="470">
        <v>42825</v>
      </c>
      <c r="M20" s="470">
        <v>62567</v>
      </c>
      <c r="N20" s="470">
        <v>54803</v>
      </c>
      <c r="O20" s="470">
        <v>46599</v>
      </c>
      <c r="P20" s="470">
        <v>206794</v>
      </c>
      <c r="Q20" s="528"/>
      <c r="R20" s="470">
        <v>62306</v>
      </c>
      <c r="S20" s="470">
        <v>138648</v>
      </c>
      <c r="T20" s="470">
        <v>97341</v>
      </c>
      <c r="U20" s="470">
        <v>120510</v>
      </c>
      <c r="V20" s="470">
        <v>418805</v>
      </c>
      <c r="W20" s="528"/>
      <c r="X20" s="470">
        <v>109058</v>
      </c>
      <c r="Y20" s="470">
        <v>167322</v>
      </c>
      <c r="Z20" s="470">
        <v>183767</v>
      </c>
      <c r="AA20" s="470">
        <v>159027</v>
      </c>
      <c r="AB20" s="470">
        <v>619174</v>
      </c>
      <c r="AC20" s="528"/>
      <c r="AD20" s="470">
        <v>149236</v>
      </c>
      <c r="AE20" s="470">
        <v>181245</v>
      </c>
      <c r="AF20" s="470">
        <v>190387</v>
      </c>
      <c r="AG20" s="470">
        <v>119310</v>
      </c>
      <c r="AH20" s="470">
        <v>640178</v>
      </c>
      <c r="AI20" s="470"/>
      <c r="AJ20" s="470">
        <v>-45960</v>
      </c>
      <c r="AK20" s="470">
        <v>-18720</v>
      </c>
      <c r="AL20" s="470">
        <v>50420</v>
      </c>
      <c r="AM20" s="470">
        <v>29435</v>
      </c>
      <c r="AN20" s="470">
        <v>15175</v>
      </c>
      <c r="AO20" s="470"/>
      <c r="AP20" s="470">
        <v>157427</v>
      </c>
      <c r="AQ20" s="470">
        <v>189750</v>
      </c>
      <c r="AR20" s="470">
        <v>192475</v>
      </c>
      <c r="AS20" s="418">
        <v>233790</v>
      </c>
      <c r="AT20" s="418">
        <v>773442</v>
      </c>
      <c r="AU20" s="86"/>
      <c r="AV20" s="85"/>
    </row>
    <row r="21" spans="1:48" s="206" customFormat="1" ht="15" customHeight="1" x14ac:dyDescent="0.2">
      <c r="A21" s="136" t="str">
        <f>IF(Contents!$A$1=2,"Add back","Увеличивается (уменьшается) на")</f>
        <v>Увеличивается (уменьшается) на</v>
      </c>
      <c r="B21" s="271" t="str">
        <f>IF(Contents!$A$1=2,"mln RUB","млн руб.")</f>
        <v>млн руб.</v>
      </c>
      <c r="C21" s="123"/>
      <c r="D21" s="470"/>
      <c r="E21" s="470"/>
      <c r="F21" s="470"/>
      <c r="G21" s="470"/>
      <c r="H21" s="470"/>
      <c r="I21" s="470"/>
      <c r="J21" s="470"/>
      <c r="K21" s="528"/>
      <c r="L21" s="470"/>
      <c r="M21" s="470"/>
      <c r="N21" s="470"/>
      <c r="O21" s="470"/>
      <c r="P21" s="470"/>
      <c r="Q21" s="528"/>
      <c r="R21" s="470"/>
      <c r="S21" s="470"/>
      <c r="T21" s="470"/>
      <c r="U21" s="470"/>
      <c r="V21" s="470"/>
      <c r="W21" s="528"/>
      <c r="X21" s="470"/>
      <c r="Y21" s="470"/>
      <c r="Z21" s="470"/>
      <c r="AA21" s="470"/>
      <c r="AB21" s="470"/>
      <c r="AC21" s="528"/>
      <c r="AD21" s="470"/>
      <c r="AE21" s="470"/>
      <c r="AF21" s="470"/>
      <c r="AG21" s="470"/>
      <c r="AH21" s="470"/>
      <c r="AI21" s="470"/>
      <c r="AJ21" s="470"/>
      <c r="AK21" s="470"/>
      <c r="AL21" s="470"/>
      <c r="AM21" s="470"/>
      <c r="AN21" s="470"/>
      <c r="AO21" s="470"/>
      <c r="AP21" s="470"/>
      <c r="AQ21" s="470"/>
      <c r="AR21" s="470"/>
      <c r="AS21" s="470"/>
      <c r="AT21" s="470"/>
      <c r="AU21" s="86"/>
      <c r="AV21" s="85"/>
    </row>
    <row r="22" spans="1:48" s="206" customFormat="1" ht="15" customHeight="1" x14ac:dyDescent="0.2">
      <c r="A22" s="84" t="str">
        <f>IF(Contents!$A$1=2,"Profit for the period attributable to non-controlling interests","Чистая прибыль, относящаяся к неконтролирующим долям")</f>
        <v>Чистая прибыль, относящаяся к неконтролирующим долям</v>
      </c>
      <c r="B22" s="271" t="str">
        <f>IF(Contents!$A$1=2,"mln RUB","млн руб.")</f>
        <v>млн руб.</v>
      </c>
      <c r="C22" s="123"/>
      <c r="D22" s="470">
        <v>-1449</v>
      </c>
      <c r="E22" s="470"/>
      <c r="F22" s="470">
        <v>408</v>
      </c>
      <c r="G22" s="470">
        <v>508</v>
      </c>
      <c r="H22" s="470">
        <v>204</v>
      </c>
      <c r="I22" s="470">
        <v>490</v>
      </c>
      <c r="J22" s="470">
        <v>1610</v>
      </c>
      <c r="K22" s="528"/>
      <c r="L22" s="470">
        <v>145</v>
      </c>
      <c r="M22" s="470">
        <v>127</v>
      </c>
      <c r="N22" s="470">
        <v>300</v>
      </c>
      <c r="O22" s="470">
        <v>276</v>
      </c>
      <c r="P22" s="470">
        <v>848</v>
      </c>
      <c r="Q22" s="528"/>
      <c r="R22" s="470">
        <v>378</v>
      </c>
      <c r="S22" s="470">
        <v>146</v>
      </c>
      <c r="T22" s="470">
        <v>444</v>
      </c>
      <c r="U22" s="470">
        <v>649</v>
      </c>
      <c r="V22" s="470">
        <v>1617</v>
      </c>
      <c r="W22" s="528"/>
      <c r="X22" s="470">
        <v>367</v>
      </c>
      <c r="Y22" s="470">
        <v>673</v>
      </c>
      <c r="Z22" s="470">
        <v>695</v>
      </c>
      <c r="AA22" s="470">
        <v>193</v>
      </c>
      <c r="AB22" s="470">
        <v>1928</v>
      </c>
      <c r="AC22" s="470">
        <v>0</v>
      </c>
      <c r="AD22" s="470">
        <v>554</v>
      </c>
      <c r="AE22" s="470">
        <v>556</v>
      </c>
      <c r="AF22" s="470">
        <v>500</v>
      </c>
      <c r="AG22" s="470">
        <v>433</v>
      </c>
      <c r="AH22" s="470">
        <v>2043</v>
      </c>
      <c r="AI22" s="470"/>
      <c r="AJ22" s="470">
        <v>176</v>
      </c>
      <c r="AK22" s="470">
        <v>263</v>
      </c>
      <c r="AL22" s="470">
        <v>492</v>
      </c>
      <c r="AM22" s="470">
        <v>527</v>
      </c>
      <c r="AN22" s="470">
        <v>1458</v>
      </c>
      <c r="AO22" s="470"/>
      <c r="AP22" s="470">
        <v>540</v>
      </c>
      <c r="AQ22" s="470">
        <v>646</v>
      </c>
      <c r="AR22" s="470">
        <v>644</v>
      </c>
      <c r="AS22" s="470">
        <v>241</v>
      </c>
      <c r="AT22" s="470">
        <v>2071</v>
      </c>
      <c r="AU22" s="86"/>
      <c r="AV22" s="85"/>
    </row>
    <row r="23" spans="1:48" s="206" customFormat="1" ht="15" customHeight="1" x14ac:dyDescent="0.2">
      <c r="A23" s="84" t="str">
        <f>IF(Contents!$A$1=2,"Income tax expense ","Налог на прибыль")</f>
        <v>Налог на прибыль</v>
      </c>
      <c r="B23" s="271" t="str">
        <f>IF(Contents!$A$1=2,"mln RUB","млн руб.")</f>
        <v>млн руб.</v>
      </c>
      <c r="C23" s="123"/>
      <c r="D23" s="470">
        <v>90779</v>
      </c>
      <c r="E23" s="470"/>
      <c r="F23" s="470">
        <v>24873</v>
      </c>
      <c r="G23" s="470">
        <v>18819</v>
      </c>
      <c r="H23" s="470">
        <v>39351</v>
      </c>
      <c r="I23" s="470">
        <v>13316</v>
      </c>
      <c r="J23" s="470">
        <v>96359</v>
      </c>
      <c r="K23" s="528"/>
      <c r="L23" s="470">
        <v>11766</v>
      </c>
      <c r="M23" s="470">
        <v>17957</v>
      </c>
      <c r="N23" s="470">
        <v>20689</v>
      </c>
      <c r="O23" s="470">
        <v>14461</v>
      </c>
      <c r="P23" s="470">
        <v>64873</v>
      </c>
      <c r="Q23" s="528"/>
      <c r="R23" s="470">
        <v>15765</v>
      </c>
      <c r="S23" s="470">
        <v>31992</v>
      </c>
      <c r="T23" s="470">
        <v>30584</v>
      </c>
      <c r="U23" s="470">
        <v>25421</v>
      </c>
      <c r="V23" s="470">
        <v>103762</v>
      </c>
      <c r="W23" s="528"/>
      <c r="X23" s="470">
        <v>23117</v>
      </c>
      <c r="Y23" s="470">
        <v>43868</v>
      </c>
      <c r="Z23" s="470">
        <v>43888</v>
      </c>
      <c r="AA23" s="470">
        <v>41044</v>
      </c>
      <c r="AB23" s="470">
        <v>151917</v>
      </c>
      <c r="AC23" s="470">
        <v>0</v>
      </c>
      <c r="AD23" s="470">
        <v>42796</v>
      </c>
      <c r="AE23" s="470">
        <v>41927</v>
      </c>
      <c r="AF23" s="470">
        <v>35881</v>
      </c>
      <c r="AG23" s="470">
        <v>30529</v>
      </c>
      <c r="AH23" s="470">
        <v>151133</v>
      </c>
      <c r="AI23" s="470"/>
      <c r="AJ23" s="470">
        <v>23378</v>
      </c>
      <c r="AK23" s="470">
        <v>12664</v>
      </c>
      <c r="AL23" s="470">
        <v>15256</v>
      </c>
      <c r="AM23" s="470">
        <v>30856</v>
      </c>
      <c r="AN23" s="470">
        <v>82154</v>
      </c>
      <c r="AO23" s="470"/>
      <c r="AP23" s="470">
        <v>41012</v>
      </c>
      <c r="AQ23" s="470">
        <v>39594</v>
      </c>
      <c r="AR23" s="470">
        <v>49049</v>
      </c>
      <c r="AS23" s="470">
        <v>61796</v>
      </c>
      <c r="AT23" s="470">
        <v>191451</v>
      </c>
      <c r="AU23" s="86"/>
      <c r="AV23" s="85"/>
    </row>
    <row r="24" spans="1:48" s="206" customFormat="1" ht="15" customHeight="1" x14ac:dyDescent="0.2">
      <c r="A24" s="84" t="str">
        <f>IF(Contents!$A$1=2,"Financial income","Финансовые доходы")</f>
        <v>Финансовые доходы</v>
      </c>
      <c r="B24" s="271" t="str">
        <f>IF(Contents!$A$1=2,"mln RUB","млн руб.")</f>
        <v>млн руб.</v>
      </c>
      <c r="C24" s="123"/>
      <c r="D24" s="470">
        <v>-10999</v>
      </c>
      <c r="E24" s="470"/>
      <c r="F24" s="470">
        <v>-4531</v>
      </c>
      <c r="G24" s="470">
        <v>-4036</v>
      </c>
      <c r="H24" s="470">
        <v>-4210</v>
      </c>
      <c r="I24" s="470">
        <v>-4986</v>
      </c>
      <c r="J24" s="470">
        <v>-17763</v>
      </c>
      <c r="K24" s="528"/>
      <c r="L24" s="470">
        <v>-3831</v>
      </c>
      <c r="M24" s="470">
        <v>-3511</v>
      </c>
      <c r="N24" s="470">
        <v>-3778</v>
      </c>
      <c r="O24" s="470">
        <v>-3636</v>
      </c>
      <c r="P24" s="470">
        <v>-14756</v>
      </c>
      <c r="Q24" s="528"/>
      <c r="R24" s="470">
        <v>-3299</v>
      </c>
      <c r="S24" s="470">
        <v>-3102</v>
      </c>
      <c r="T24" s="470">
        <v>-3261</v>
      </c>
      <c r="U24" s="470">
        <v>-5489</v>
      </c>
      <c r="V24" s="470">
        <v>-15151</v>
      </c>
      <c r="W24" s="528"/>
      <c r="X24" s="470">
        <v>-3514</v>
      </c>
      <c r="Y24" s="470">
        <v>-4648</v>
      </c>
      <c r="Z24" s="470">
        <v>-5132</v>
      </c>
      <c r="AA24" s="470">
        <v>-6236</v>
      </c>
      <c r="AB24" s="470">
        <v>-19530</v>
      </c>
      <c r="AC24" s="470">
        <v>0</v>
      </c>
      <c r="AD24" s="470">
        <v>-5984</v>
      </c>
      <c r="AE24" s="470">
        <v>-6075</v>
      </c>
      <c r="AF24" s="470">
        <v>-6944</v>
      </c>
      <c r="AG24" s="470">
        <v>-6131</v>
      </c>
      <c r="AH24" s="470">
        <v>-25134</v>
      </c>
      <c r="AI24" s="470"/>
      <c r="AJ24" s="470">
        <v>-4811</v>
      </c>
      <c r="AK24" s="470">
        <v>-2685</v>
      </c>
      <c r="AL24" s="470">
        <v>-3625</v>
      </c>
      <c r="AM24" s="470">
        <v>-1930</v>
      </c>
      <c r="AN24" s="470">
        <v>-13051</v>
      </c>
      <c r="AO24" s="470"/>
      <c r="AP24" s="470">
        <v>-2164</v>
      </c>
      <c r="AQ24" s="470">
        <v>-2701</v>
      </c>
      <c r="AR24" s="470">
        <v>-4641</v>
      </c>
      <c r="AS24" s="470">
        <v>-7013</v>
      </c>
      <c r="AT24" s="470">
        <v>-16519</v>
      </c>
      <c r="AU24" s="86"/>
      <c r="AV24" s="85"/>
    </row>
    <row r="25" spans="1:48" s="206" customFormat="1" ht="15" customHeight="1" x14ac:dyDescent="0.2">
      <c r="A25" s="84" t="str">
        <f>IF(Contents!$A$1=2,"Financial costs","Финансовые расходы")</f>
        <v>Финансовые расходы</v>
      </c>
      <c r="B25" s="271" t="str">
        <f>IF(Contents!$A$1=2,"mln RUB","млн руб.")</f>
        <v>млн руб.</v>
      </c>
      <c r="C25" s="123"/>
      <c r="D25" s="470">
        <v>29727</v>
      </c>
      <c r="E25" s="470"/>
      <c r="F25" s="470">
        <v>11460</v>
      </c>
      <c r="G25" s="470">
        <v>11026</v>
      </c>
      <c r="H25" s="470">
        <v>11667</v>
      </c>
      <c r="I25" s="470">
        <v>14071</v>
      </c>
      <c r="J25" s="470">
        <v>48224</v>
      </c>
      <c r="K25" s="528"/>
      <c r="L25" s="470">
        <v>10371</v>
      </c>
      <c r="M25" s="470">
        <v>11098</v>
      </c>
      <c r="N25" s="470">
        <v>11949</v>
      </c>
      <c r="O25" s="470">
        <v>13612</v>
      </c>
      <c r="P25" s="470">
        <v>47030</v>
      </c>
      <c r="Q25" s="528"/>
      <c r="R25" s="470">
        <v>9470</v>
      </c>
      <c r="S25" s="470">
        <v>6767</v>
      </c>
      <c r="T25" s="470">
        <v>5925</v>
      </c>
      <c r="U25" s="470">
        <v>5169</v>
      </c>
      <c r="V25" s="470">
        <v>27331</v>
      </c>
      <c r="W25" s="528"/>
      <c r="X25" s="470">
        <v>7322</v>
      </c>
      <c r="Y25" s="470">
        <v>8279</v>
      </c>
      <c r="Z25" s="470">
        <v>9955</v>
      </c>
      <c r="AA25" s="470">
        <v>12742</v>
      </c>
      <c r="AB25" s="470">
        <v>38298</v>
      </c>
      <c r="AC25" s="470">
        <v>0</v>
      </c>
      <c r="AD25" s="470">
        <v>11734</v>
      </c>
      <c r="AE25" s="470">
        <v>10976</v>
      </c>
      <c r="AF25" s="470">
        <v>10872</v>
      </c>
      <c r="AG25" s="470">
        <v>10774</v>
      </c>
      <c r="AH25" s="470">
        <v>44356</v>
      </c>
      <c r="AI25" s="470"/>
      <c r="AJ25" s="470">
        <v>10249</v>
      </c>
      <c r="AK25" s="470">
        <v>11323</v>
      </c>
      <c r="AL25" s="470">
        <v>11697</v>
      </c>
      <c r="AM25" s="470">
        <v>10853</v>
      </c>
      <c r="AN25" s="470">
        <v>44122</v>
      </c>
      <c r="AO25" s="470"/>
      <c r="AP25" s="470">
        <v>9351</v>
      </c>
      <c r="AQ25" s="470">
        <v>9289</v>
      </c>
      <c r="AR25" s="470">
        <v>9246</v>
      </c>
      <c r="AS25" s="470">
        <v>9682</v>
      </c>
      <c r="AT25" s="470">
        <v>37568</v>
      </c>
      <c r="AU25" s="86"/>
      <c r="AV25" s="85"/>
    </row>
    <row r="26" spans="1:48" s="206" customFormat="1" ht="15" customHeight="1" x14ac:dyDescent="0.2">
      <c r="A26" s="84" t="str">
        <f>IF(Contents!$A$1=2,"Foreign exchange loss (gain)","Убыток (прибыль) по курсовым разницам")</f>
        <v>Убыток (прибыль) по курсовым разницам</v>
      </c>
      <c r="B26" s="271" t="str">
        <f>IF(Contents!$A$1=2,"mln RUB","млн руб.")</f>
        <v>млн руб.</v>
      </c>
      <c r="C26" s="123"/>
      <c r="D26" s="470">
        <v>-167235</v>
      </c>
      <c r="E26" s="470"/>
      <c r="F26" s="470">
        <v>-5675</v>
      </c>
      <c r="G26" s="470">
        <v>29154</v>
      </c>
      <c r="H26" s="470">
        <v>-83762</v>
      </c>
      <c r="I26" s="470">
        <v>-50629</v>
      </c>
      <c r="J26" s="470">
        <v>-110912</v>
      </c>
      <c r="K26" s="528"/>
      <c r="L26" s="470">
        <v>45378</v>
      </c>
      <c r="M26" s="470">
        <v>28945</v>
      </c>
      <c r="N26" s="470">
        <v>10207</v>
      </c>
      <c r="O26" s="470">
        <v>27446</v>
      </c>
      <c r="P26" s="470">
        <v>111976</v>
      </c>
      <c r="Q26" s="528"/>
      <c r="R26" s="470">
        <v>43494</v>
      </c>
      <c r="S26" s="470">
        <v>-27786</v>
      </c>
      <c r="T26" s="470">
        <v>9441</v>
      </c>
      <c r="U26" s="470">
        <v>-5201</v>
      </c>
      <c r="V26" s="470">
        <v>19948</v>
      </c>
      <c r="W26" s="528"/>
      <c r="X26" s="470">
        <v>1432</v>
      </c>
      <c r="Y26" s="470">
        <v>-22394</v>
      </c>
      <c r="Z26" s="470">
        <v>-11215</v>
      </c>
      <c r="AA26" s="470">
        <v>-1586</v>
      </c>
      <c r="AB26" s="470">
        <v>-33763</v>
      </c>
      <c r="AC26" s="470">
        <v>0</v>
      </c>
      <c r="AD26" s="470">
        <v>-1901</v>
      </c>
      <c r="AE26" s="470">
        <v>-3607</v>
      </c>
      <c r="AF26" s="470">
        <v>4630</v>
      </c>
      <c r="AG26" s="470">
        <v>-45</v>
      </c>
      <c r="AH26" s="470">
        <v>-923</v>
      </c>
      <c r="AI26" s="470"/>
      <c r="AJ26" s="470">
        <v>14910</v>
      </c>
      <c r="AK26" s="470">
        <v>-3620</v>
      </c>
      <c r="AL26" s="470">
        <v>27280</v>
      </c>
      <c r="AM26" s="470">
        <v>-12460</v>
      </c>
      <c r="AN26" s="470">
        <v>26110</v>
      </c>
      <c r="AO26" s="470"/>
      <c r="AP26" s="470">
        <v>1145</v>
      </c>
      <c r="AQ26" s="470">
        <v>1275</v>
      </c>
      <c r="AR26" s="470">
        <v>661</v>
      </c>
      <c r="AS26" s="470">
        <v>-5812</v>
      </c>
      <c r="AT26" s="470">
        <v>-2731</v>
      </c>
      <c r="AU26" s="86"/>
      <c r="AV26" s="85"/>
    </row>
    <row r="27" spans="1:48" s="206" customFormat="1" ht="15" customHeight="1" x14ac:dyDescent="0.2">
      <c r="A27" s="84" t="str">
        <f>IF(Contents!$A$1=2,"Equity share in income of affiliates","Доля в прибыли компаний, учитываемых по методу долевого участия")</f>
        <v>Доля в прибыли компаний, учитываемых по методу долевого участия</v>
      </c>
      <c r="B27" s="271" t="str">
        <f>IF(Contents!$A$1=2,"mln RUB","млн руб.")</f>
        <v>млн руб.</v>
      </c>
      <c r="C27" s="123"/>
      <c r="D27" s="470">
        <v>-19888</v>
      </c>
      <c r="E27" s="470"/>
      <c r="F27" s="470">
        <v>-4093</v>
      </c>
      <c r="G27" s="470">
        <v>-2382</v>
      </c>
      <c r="H27" s="470">
        <v>-2131</v>
      </c>
      <c r="I27" s="470">
        <v>1559</v>
      </c>
      <c r="J27" s="470">
        <v>-7047</v>
      </c>
      <c r="K27" s="528"/>
      <c r="L27" s="470">
        <v>-2353</v>
      </c>
      <c r="M27" s="470">
        <v>-3425</v>
      </c>
      <c r="N27" s="470">
        <v>-198</v>
      </c>
      <c r="O27" s="470">
        <v>-1991</v>
      </c>
      <c r="P27" s="470">
        <v>-7967</v>
      </c>
      <c r="Q27" s="528"/>
      <c r="R27" s="470">
        <v>-3730</v>
      </c>
      <c r="S27" s="470">
        <v>-3955</v>
      </c>
      <c r="T27" s="470">
        <v>-3985</v>
      </c>
      <c r="U27" s="470">
        <v>-5194</v>
      </c>
      <c r="V27" s="470">
        <v>-16864</v>
      </c>
      <c r="W27" s="528"/>
      <c r="X27" s="470">
        <v>-5249</v>
      </c>
      <c r="Y27" s="470">
        <v>-6104</v>
      </c>
      <c r="Z27" s="470">
        <v>-6828</v>
      </c>
      <c r="AA27" s="470">
        <v>-7062</v>
      </c>
      <c r="AB27" s="470">
        <v>-25243</v>
      </c>
      <c r="AC27" s="470">
        <v>0</v>
      </c>
      <c r="AD27" s="470">
        <v>-6180</v>
      </c>
      <c r="AE27" s="470">
        <v>-4942</v>
      </c>
      <c r="AF27" s="470">
        <v>-5496</v>
      </c>
      <c r="AG27" s="470">
        <v>-1628</v>
      </c>
      <c r="AH27" s="470">
        <v>-18246</v>
      </c>
      <c r="AI27" s="470"/>
      <c r="AJ27" s="470">
        <v>-4431</v>
      </c>
      <c r="AK27" s="470">
        <v>3</v>
      </c>
      <c r="AL27" s="470">
        <v>-4029</v>
      </c>
      <c r="AM27" s="470">
        <v>-3017</v>
      </c>
      <c r="AN27" s="470">
        <v>-11474</v>
      </c>
      <c r="AO27" s="470"/>
      <c r="AP27" s="470">
        <v>-6488</v>
      </c>
      <c r="AQ27" s="470">
        <v>-6624</v>
      </c>
      <c r="AR27" s="470">
        <v>-6722</v>
      </c>
      <c r="AS27" s="470">
        <v>-10146</v>
      </c>
      <c r="AT27" s="470">
        <v>-29980</v>
      </c>
      <c r="AU27" s="86"/>
      <c r="AV27" s="85"/>
    </row>
    <row r="28" spans="1:48" s="206" customFormat="1" ht="15" customHeight="1" x14ac:dyDescent="0.2">
      <c r="A28" s="84" t="str">
        <f>IF(Contents!$A$1=2,"Other expenses","Прочие расходы")</f>
        <v>Прочие расходы</v>
      </c>
      <c r="B28" s="271" t="str">
        <f>IF(Contents!$A$1=2,"mln RUB","млн руб.")</f>
        <v>млн руб.</v>
      </c>
      <c r="C28" s="123"/>
      <c r="D28" s="470">
        <v>95874</v>
      </c>
      <c r="E28" s="470"/>
      <c r="F28" s="470">
        <v>5772</v>
      </c>
      <c r="G28" s="470">
        <v>2784</v>
      </c>
      <c r="H28" s="470">
        <v>-36542</v>
      </c>
      <c r="I28" s="470">
        <v>192109</v>
      </c>
      <c r="J28" s="470">
        <v>164123</v>
      </c>
      <c r="K28" s="528"/>
      <c r="L28" s="470">
        <v>3343</v>
      </c>
      <c r="M28" s="470">
        <v>4205</v>
      </c>
      <c r="N28" s="470">
        <v>-2872</v>
      </c>
      <c r="O28" s="470">
        <v>5669</v>
      </c>
      <c r="P28" s="470">
        <v>10345</v>
      </c>
      <c r="Q28" s="528"/>
      <c r="R28" s="470">
        <v>2487</v>
      </c>
      <c r="S28" s="470">
        <v>-47828</v>
      </c>
      <c r="T28" s="470">
        <v>737</v>
      </c>
      <c r="U28" s="470">
        <v>11672</v>
      </c>
      <c r="V28" s="470">
        <v>-32932</v>
      </c>
      <c r="W28" s="528"/>
      <c r="X28" s="470">
        <v>-699</v>
      </c>
      <c r="Y28" s="470">
        <v>10562</v>
      </c>
      <c r="Z28" s="470">
        <v>780</v>
      </c>
      <c r="AA28" s="470">
        <v>28291</v>
      </c>
      <c r="AB28" s="470">
        <v>38934</v>
      </c>
      <c r="AC28" s="470">
        <v>0</v>
      </c>
      <c r="AD28" s="470">
        <v>3972</v>
      </c>
      <c r="AE28" s="470">
        <v>6360</v>
      </c>
      <c r="AF28" s="470">
        <v>-6529</v>
      </c>
      <c r="AG28" s="470">
        <v>23888</v>
      </c>
      <c r="AH28" s="470">
        <v>27691</v>
      </c>
      <c r="AI28" s="470"/>
      <c r="AJ28" s="470">
        <v>46614</v>
      </c>
      <c r="AK28" s="470">
        <v>44463</v>
      </c>
      <c r="AL28" s="470">
        <v>1293</v>
      </c>
      <c r="AM28" s="470">
        <v>44790</v>
      </c>
      <c r="AN28" s="470">
        <v>137160</v>
      </c>
      <c r="AO28" s="470"/>
      <c r="AP28" s="470">
        <v>-157</v>
      </c>
      <c r="AQ28" s="470">
        <v>2099</v>
      </c>
      <c r="AR28" s="470">
        <v>7061</v>
      </c>
      <c r="AS28" s="470">
        <v>14640</v>
      </c>
      <c r="AT28" s="470">
        <v>23643</v>
      </c>
      <c r="AU28" s="86"/>
      <c r="AV28" s="85"/>
    </row>
    <row r="29" spans="1:48" s="206" customFormat="1" ht="15" customHeight="1" x14ac:dyDescent="0.2">
      <c r="A29" s="368" t="str">
        <f>IF(Contents!$A$1=2,"Depreciation, depletion and amortization","Износ и амортизация")</f>
        <v>Износ и амортизация</v>
      </c>
      <c r="B29" s="362" t="str">
        <f>IF(Contents!$A$1=2,"mln RUB","млн руб.")</f>
        <v>млн руб.</v>
      </c>
      <c r="C29" s="123"/>
      <c r="D29" s="541">
        <v>293052</v>
      </c>
      <c r="E29" s="470"/>
      <c r="F29" s="541">
        <v>78463</v>
      </c>
      <c r="G29" s="541">
        <v>87058</v>
      </c>
      <c r="H29" s="541">
        <v>100061</v>
      </c>
      <c r="I29" s="541">
        <v>85394</v>
      </c>
      <c r="J29" s="541">
        <v>350976</v>
      </c>
      <c r="K29" s="528"/>
      <c r="L29" s="541">
        <v>84348</v>
      </c>
      <c r="M29" s="541">
        <v>71608</v>
      </c>
      <c r="N29" s="541">
        <v>74790</v>
      </c>
      <c r="O29" s="541">
        <v>80842</v>
      </c>
      <c r="P29" s="541">
        <v>311588</v>
      </c>
      <c r="Q29" s="528"/>
      <c r="R29" s="541">
        <v>80774</v>
      </c>
      <c r="S29" s="541">
        <v>84162</v>
      </c>
      <c r="T29" s="541">
        <v>83920</v>
      </c>
      <c r="U29" s="541">
        <v>76198</v>
      </c>
      <c r="V29" s="541">
        <v>325054</v>
      </c>
      <c r="W29" s="528"/>
      <c r="X29" s="541">
        <v>87690</v>
      </c>
      <c r="Y29" s="541">
        <v>97593</v>
      </c>
      <c r="Z29" s="541">
        <v>105900</v>
      </c>
      <c r="AA29" s="541">
        <v>51902</v>
      </c>
      <c r="AB29" s="541">
        <v>343085</v>
      </c>
      <c r="AC29" s="470">
        <v>0</v>
      </c>
      <c r="AD29" s="541">
        <v>103830</v>
      </c>
      <c r="AE29" s="541">
        <v>105730</v>
      </c>
      <c r="AF29" s="541">
        <v>104504</v>
      </c>
      <c r="AG29" s="541">
        <v>101030</v>
      </c>
      <c r="AH29" s="541">
        <v>415094</v>
      </c>
      <c r="AI29" s="470"/>
      <c r="AJ29" s="541">
        <v>110718</v>
      </c>
      <c r="AK29" s="541">
        <v>100725</v>
      </c>
      <c r="AL29" s="541">
        <v>103439</v>
      </c>
      <c r="AM29" s="541">
        <v>90558</v>
      </c>
      <c r="AN29" s="541">
        <v>405440</v>
      </c>
      <c r="AO29" s="470"/>
      <c r="AP29" s="541">
        <v>113714</v>
      </c>
      <c r="AQ29" s="541">
        <v>106514</v>
      </c>
      <c r="AR29" s="541">
        <v>107403</v>
      </c>
      <c r="AS29" s="541">
        <v>97835</v>
      </c>
      <c r="AT29" s="541">
        <v>425466</v>
      </c>
      <c r="AU29" s="86"/>
      <c r="AV29" s="85"/>
    </row>
    <row r="30" spans="1:48" s="206" customFormat="1" ht="15" customHeight="1" x14ac:dyDescent="0.2">
      <c r="A30" s="124" t="str">
        <f>IF(Contents!$A$1=2,"EBITDA","EBITDA")</f>
        <v>EBITDA</v>
      </c>
      <c r="B30" s="364" t="str">
        <f>IF(Contents!$A$1=2,"mln RUB","млн руб.")</f>
        <v>млн руб.</v>
      </c>
      <c r="C30" s="365"/>
      <c r="D30" s="467">
        <v>705386</v>
      </c>
      <c r="E30" s="467"/>
      <c r="F30" s="467">
        <v>210708</v>
      </c>
      <c r="G30" s="467">
        <v>206679</v>
      </c>
      <c r="H30" s="467">
        <v>213031</v>
      </c>
      <c r="I30" s="467">
        <v>186287</v>
      </c>
      <c r="J30" s="467">
        <v>816705</v>
      </c>
      <c r="K30" s="525"/>
      <c r="L30" s="467">
        <v>191992</v>
      </c>
      <c r="M30" s="467">
        <v>189571</v>
      </c>
      <c r="N30" s="467">
        <v>165890</v>
      </c>
      <c r="O30" s="467">
        <v>183278</v>
      </c>
      <c r="P30" s="467">
        <v>730731</v>
      </c>
      <c r="Q30" s="525"/>
      <c r="R30" s="467">
        <v>207645</v>
      </c>
      <c r="S30" s="467">
        <v>179044</v>
      </c>
      <c r="T30" s="467">
        <v>221146</v>
      </c>
      <c r="U30" s="467">
        <v>223735</v>
      </c>
      <c r="V30" s="467">
        <v>831570</v>
      </c>
      <c r="W30" s="525"/>
      <c r="X30" s="467">
        <v>219524</v>
      </c>
      <c r="Y30" s="467">
        <v>295151</v>
      </c>
      <c r="Z30" s="467">
        <v>321810</v>
      </c>
      <c r="AA30" s="467">
        <v>278315</v>
      </c>
      <c r="AB30" s="467">
        <v>1114800</v>
      </c>
      <c r="AC30" s="525"/>
      <c r="AD30" s="467">
        <v>298057</v>
      </c>
      <c r="AE30" s="467">
        <v>332170</v>
      </c>
      <c r="AF30" s="467">
        <v>327805</v>
      </c>
      <c r="AG30" s="467">
        <v>278160</v>
      </c>
      <c r="AH30" s="467">
        <v>1236192</v>
      </c>
      <c r="AI30" s="467"/>
      <c r="AJ30" s="467">
        <v>150843</v>
      </c>
      <c r="AK30" s="467">
        <v>144416</v>
      </c>
      <c r="AL30" s="467">
        <v>202223</v>
      </c>
      <c r="AM30" s="467">
        <v>189612</v>
      </c>
      <c r="AN30" s="467">
        <v>687094</v>
      </c>
      <c r="AO30" s="467"/>
      <c r="AP30" s="467">
        <v>314380</v>
      </c>
      <c r="AQ30" s="467">
        <v>339842</v>
      </c>
      <c r="AR30" s="467">
        <v>355176</v>
      </c>
      <c r="AS30" s="467">
        <v>395013</v>
      </c>
      <c r="AT30" s="467">
        <v>1404411</v>
      </c>
      <c r="AU30" s="366"/>
      <c r="AV30" s="92"/>
    </row>
    <row r="31" spans="1:48" s="206" customFormat="1" ht="15" customHeight="1" x14ac:dyDescent="0.2">
      <c r="A31" s="136"/>
      <c r="B31" s="271"/>
      <c r="C31" s="123"/>
      <c r="D31" s="88"/>
      <c r="E31" s="86"/>
      <c r="F31" s="88"/>
      <c r="G31" s="88"/>
      <c r="H31" s="189"/>
      <c r="I31" s="189"/>
      <c r="J31" s="88"/>
      <c r="K31" s="86"/>
      <c r="L31" s="88"/>
      <c r="M31" s="88"/>
      <c r="N31" s="88"/>
      <c r="O31" s="86"/>
      <c r="P31" s="88"/>
      <c r="Q31" s="86"/>
      <c r="R31" s="88"/>
      <c r="S31" s="88"/>
      <c r="T31" s="88"/>
      <c r="U31" s="88"/>
      <c r="V31" s="88"/>
      <c r="W31" s="86"/>
      <c r="X31" s="88"/>
      <c r="Y31" s="88"/>
      <c r="Z31" s="88"/>
      <c r="AA31" s="88"/>
      <c r="AB31" s="88"/>
      <c r="AC31" s="86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86"/>
      <c r="AV31" s="85"/>
    </row>
    <row r="32" spans="1:48" s="206" customFormat="1" ht="15" customHeight="1" x14ac:dyDescent="0.2">
      <c r="A32" s="124" t="str">
        <f>IF(Contents!$A$1=2,"EBITDA by operating segments","EBITDA операционных сегментов")</f>
        <v>EBITDA операционных сегментов</v>
      </c>
      <c r="B32" s="271"/>
      <c r="C32" s="123"/>
      <c r="D32" s="529"/>
      <c r="E32" s="528"/>
      <c r="F32" s="529"/>
      <c r="G32" s="529"/>
      <c r="H32" s="529"/>
      <c r="I32" s="529"/>
      <c r="J32" s="529"/>
      <c r="K32" s="528"/>
      <c r="L32" s="529"/>
      <c r="M32" s="529"/>
      <c r="N32" s="529"/>
      <c r="O32" s="529"/>
      <c r="P32" s="529"/>
      <c r="Q32" s="528"/>
      <c r="R32" s="529"/>
      <c r="S32" s="529"/>
      <c r="T32" s="529"/>
      <c r="U32" s="529"/>
      <c r="V32" s="529"/>
      <c r="W32" s="529"/>
      <c r="X32" s="529"/>
      <c r="Y32" s="529"/>
      <c r="Z32" s="529"/>
      <c r="AA32" s="529"/>
      <c r="AB32" s="529"/>
      <c r="AC32" s="528"/>
      <c r="AD32" s="529"/>
      <c r="AE32" s="529"/>
      <c r="AF32" s="529"/>
      <c r="AG32" s="529"/>
      <c r="AH32" s="529"/>
      <c r="AI32" s="470"/>
      <c r="AJ32" s="529"/>
      <c r="AK32" s="529"/>
      <c r="AL32" s="529"/>
      <c r="AM32" s="529"/>
      <c r="AN32" s="529"/>
      <c r="AO32" s="470"/>
      <c r="AP32" s="470"/>
      <c r="AQ32" s="529"/>
      <c r="AR32" s="529"/>
      <c r="AS32" s="529"/>
      <c r="AT32" s="529"/>
      <c r="AU32" s="86"/>
      <c r="AV32" s="85"/>
    </row>
    <row r="33" spans="1:49" s="206" customFormat="1" ht="15" customHeight="1" x14ac:dyDescent="0.2">
      <c r="A33" s="124" t="str">
        <f>IF(Contents!$A$1=2,"Exploration and production segment","Сегмент «Разведка и добыча»")</f>
        <v>Сегмент «Разведка и добыча»</v>
      </c>
      <c r="B33" s="271"/>
      <c r="C33" s="123"/>
      <c r="D33" s="529"/>
      <c r="E33" s="528"/>
      <c r="F33" s="529"/>
      <c r="G33" s="529"/>
      <c r="H33" s="529"/>
      <c r="I33" s="529"/>
      <c r="J33" s="529"/>
      <c r="K33" s="528"/>
      <c r="L33" s="529"/>
      <c r="M33" s="529"/>
      <c r="N33" s="529"/>
      <c r="O33" s="529"/>
      <c r="P33" s="529"/>
      <c r="Q33" s="528"/>
      <c r="R33" s="529"/>
      <c r="S33" s="529"/>
      <c r="T33" s="529"/>
      <c r="U33" s="529"/>
      <c r="V33" s="529"/>
      <c r="W33" s="529"/>
      <c r="X33" s="529"/>
      <c r="Y33" s="529"/>
      <c r="Z33" s="529"/>
      <c r="AA33" s="529"/>
      <c r="AB33" s="529"/>
      <c r="AC33" s="528"/>
      <c r="AD33" s="529"/>
      <c r="AE33" s="529"/>
      <c r="AF33" s="529"/>
      <c r="AG33" s="529"/>
      <c r="AH33" s="529"/>
      <c r="AI33" s="470"/>
      <c r="AJ33" s="529"/>
      <c r="AK33" s="529"/>
      <c r="AL33" s="529"/>
      <c r="AM33" s="529"/>
      <c r="AN33" s="529"/>
      <c r="AO33" s="470"/>
      <c r="AP33" s="470"/>
      <c r="AQ33" s="529"/>
      <c r="AR33" s="529"/>
      <c r="AS33" s="529"/>
      <c r="AT33" s="529"/>
      <c r="AU33" s="86"/>
      <c r="AV33" s="85"/>
    </row>
    <row r="34" spans="1:49" s="206" customFormat="1" ht="15" customHeight="1" x14ac:dyDescent="0.2">
      <c r="A34" s="84" t="str">
        <f>IF(Contents!$A$1=2,"Sales (including excise and export tariffs)","Выручка")</f>
        <v>Выручка</v>
      </c>
      <c r="B34" s="271" t="str">
        <f>IF(Contents!$A$1=2,"mln RUB","млн руб.")</f>
        <v>млн руб.</v>
      </c>
      <c r="C34" s="123"/>
      <c r="D34" s="529">
        <v>0</v>
      </c>
      <c r="E34" s="528"/>
      <c r="F34" s="529">
        <v>0</v>
      </c>
      <c r="G34" s="529">
        <v>0</v>
      </c>
      <c r="H34" s="529">
        <v>0</v>
      </c>
      <c r="I34" s="529">
        <v>0</v>
      </c>
      <c r="J34" s="529">
        <v>0</v>
      </c>
      <c r="K34" s="528"/>
      <c r="L34" s="529">
        <v>0</v>
      </c>
      <c r="M34" s="529">
        <v>0</v>
      </c>
      <c r="N34" s="529">
        <v>0</v>
      </c>
      <c r="O34" s="529">
        <v>0</v>
      </c>
      <c r="P34" s="529">
        <v>0</v>
      </c>
      <c r="Q34" s="528"/>
      <c r="R34" s="529">
        <v>0</v>
      </c>
      <c r="S34" s="529">
        <v>0</v>
      </c>
      <c r="T34" s="529">
        <v>0</v>
      </c>
      <c r="U34" s="529">
        <v>0</v>
      </c>
      <c r="V34" s="529">
        <v>0</v>
      </c>
      <c r="W34" s="529">
        <v>0</v>
      </c>
      <c r="X34" s="529">
        <v>0</v>
      </c>
      <c r="Y34" s="529">
        <v>0</v>
      </c>
      <c r="Z34" s="529">
        <v>0</v>
      </c>
      <c r="AA34" s="529">
        <v>0</v>
      </c>
      <c r="AB34" s="470">
        <v>2391467</v>
      </c>
      <c r="AC34" s="528"/>
      <c r="AD34" s="470">
        <v>593305</v>
      </c>
      <c r="AE34" s="470">
        <v>620946</v>
      </c>
      <c r="AF34" s="470">
        <v>570432</v>
      </c>
      <c r="AG34" s="470">
        <v>579500</v>
      </c>
      <c r="AH34" s="470">
        <v>2364184</v>
      </c>
      <c r="AI34" s="470"/>
      <c r="AJ34" s="470">
        <v>437851</v>
      </c>
      <c r="AK34" s="470">
        <v>252158</v>
      </c>
      <c r="AL34" s="470">
        <v>403379</v>
      </c>
      <c r="AM34" s="470">
        <v>448851</v>
      </c>
      <c r="AN34" s="470">
        <v>1542239</v>
      </c>
      <c r="AO34" s="470"/>
      <c r="AP34" s="470">
        <v>598949</v>
      </c>
      <c r="AQ34" s="470">
        <v>677140</v>
      </c>
      <c r="AR34" s="470">
        <v>744799</v>
      </c>
      <c r="AS34" s="470">
        <v>834988</v>
      </c>
      <c r="AT34" s="470">
        <v>2855876</v>
      </c>
      <c r="AU34" s="86"/>
      <c r="AV34" s="85"/>
    </row>
    <row r="35" spans="1:49" s="206" customFormat="1" ht="15" customHeight="1" x14ac:dyDescent="0.2">
      <c r="A35" s="84" t="str">
        <f>IF(Contents!$A$1=2,"Operating expenses","Операционные расходы")</f>
        <v>Операционные расходы</v>
      </c>
      <c r="B35" s="271" t="str">
        <f>IF(Contents!$A$1=2,"mln RUB","млн руб.")</f>
        <v>млн руб.</v>
      </c>
      <c r="C35" s="123"/>
      <c r="D35" s="529">
        <v>0</v>
      </c>
      <c r="E35" s="528"/>
      <c r="F35" s="529">
        <v>0</v>
      </c>
      <c r="G35" s="529">
        <v>0</v>
      </c>
      <c r="H35" s="529">
        <v>0</v>
      </c>
      <c r="I35" s="529">
        <v>0</v>
      </c>
      <c r="J35" s="529">
        <v>0</v>
      </c>
      <c r="K35" s="528"/>
      <c r="L35" s="529">
        <v>0</v>
      </c>
      <c r="M35" s="529">
        <v>0</v>
      </c>
      <c r="N35" s="529">
        <v>0</v>
      </c>
      <c r="O35" s="529">
        <v>0</v>
      </c>
      <c r="P35" s="529">
        <v>0</v>
      </c>
      <c r="Q35" s="528"/>
      <c r="R35" s="529">
        <v>0</v>
      </c>
      <c r="S35" s="529">
        <v>0</v>
      </c>
      <c r="T35" s="529">
        <v>0</v>
      </c>
      <c r="U35" s="529">
        <v>0</v>
      </c>
      <c r="V35" s="529">
        <v>0</v>
      </c>
      <c r="W35" s="529">
        <v>0</v>
      </c>
      <c r="X35" s="529">
        <v>0</v>
      </c>
      <c r="Y35" s="529">
        <v>0</v>
      </c>
      <c r="Z35" s="529">
        <v>0</v>
      </c>
      <c r="AA35" s="529">
        <v>0</v>
      </c>
      <c r="AB35" s="470">
        <v>-273012</v>
      </c>
      <c r="AC35" s="528"/>
      <c r="AD35" s="470">
        <v>-65286</v>
      </c>
      <c r="AE35" s="470">
        <v>-69100</v>
      </c>
      <c r="AF35" s="470">
        <v>-70479</v>
      </c>
      <c r="AG35" s="470">
        <v>-70069</v>
      </c>
      <c r="AH35" s="470">
        <v>-274934</v>
      </c>
      <c r="AI35" s="470"/>
      <c r="AJ35" s="470">
        <v>-70069</v>
      </c>
      <c r="AK35" s="470">
        <v>-64174.000000000007</v>
      </c>
      <c r="AL35" s="470">
        <v>-62166</v>
      </c>
      <c r="AM35" s="470">
        <v>-65934</v>
      </c>
      <c r="AN35" s="470">
        <v>-262343</v>
      </c>
      <c r="AO35" s="470"/>
      <c r="AP35" s="470">
        <v>-65341</v>
      </c>
      <c r="AQ35" s="470">
        <v>-69510</v>
      </c>
      <c r="AR35" s="470">
        <v>-70922</v>
      </c>
      <c r="AS35" s="470">
        <v>-73301</v>
      </c>
      <c r="AT35" s="470">
        <v>-279074</v>
      </c>
      <c r="AU35" s="86"/>
      <c r="AV35" s="85"/>
    </row>
    <row r="36" spans="1:49" s="206" customFormat="1" ht="15" customHeight="1" x14ac:dyDescent="0.2">
      <c r="A36" s="84" t="str">
        <f>IF(Contents!$A$1=2,"Cost of purchased crude oil, gas and products","Стоимость приобретённых нефти, газа и продуктов их переработки")</f>
        <v>Стоимость приобретённых нефти, газа и продуктов их переработки</v>
      </c>
      <c r="B36" s="271" t="str">
        <f>IF(Contents!$A$1=2,"mln RUB","млн руб.")</f>
        <v>млн руб.</v>
      </c>
      <c r="C36" s="123"/>
      <c r="D36" s="529">
        <v>0</v>
      </c>
      <c r="E36" s="528"/>
      <c r="F36" s="529">
        <v>0</v>
      </c>
      <c r="G36" s="529">
        <v>0</v>
      </c>
      <c r="H36" s="529">
        <v>0</v>
      </c>
      <c r="I36" s="529">
        <v>0</v>
      </c>
      <c r="J36" s="529">
        <v>0</v>
      </c>
      <c r="K36" s="528"/>
      <c r="L36" s="529">
        <v>0</v>
      </c>
      <c r="M36" s="529">
        <v>0</v>
      </c>
      <c r="N36" s="529">
        <v>0</v>
      </c>
      <c r="O36" s="529">
        <v>0</v>
      </c>
      <c r="P36" s="529">
        <v>0</v>
      </c>
      <c r="Q36" s="528"/>
      <c r="R36" s="529">
        <v>0</v>
      </c>
      <c r="S36" s="529">
        <v>0</v>
      </c>
      <c r="T36" s="529">
        <v>0</v>
      </c>
      <c r="U36" s="529">
        <v>0</v>
      </c>
      <c r="V36" s="529">
        <v>0</v>
      </c>
      <c r="W36" s="529">
        <v>0</v>
      </c>
      <c r="X36" s="529">
        <v>0</v>
      </c>
      <c r="Y36" s="529">
        <v>0</v>
      </c>
      <c r="Z36" s="529">
        <v>0</v>
      </c>
      <c r="AA36" s="529">
        <v>0</v>
      </c>
      <c r="AB36" s="470">
        <v>-58053</v>
      </c>
      <c r="AC36" s="528"/>
      <c r="AD36" s="470">
        <v>-7481</v>
      </c>
      <c r="AE36" s="470">
        <v>-8261</v>
      </c>
      <c r="AF36" s="470">
        <v>-14282</v>
      </c>
      <c r="AG36" s="470">
        <v>-10326</v>
      </c>
      <c r="AH36" s="470">
        <v>-40350</v>
      </c>
      <c r="AI36" s="470"/>
      <c r="AJ36" s="470">
        <v>-19480</v>
      </c>
      <c r="AK36" s="470">
        <v>-939</v>
      </c>
      <c r="AL36" s="470">
        <v>-19819</v>
      </c>
      <c r="AM36" s="470">
        <v>-12546</v>
      </c>
      <c r="AN36" s="470">
        <v>-52784</v>
      </c>
      <c r="AO36" s="470"/>
      <c r="AP36" s="470">
        <v>-35951</v>
      </c>
      <c r="AQ36" s="470">
        <v>-15514</v>
      </c>
      <c r="AR36" s="470">
        <v>-33381</v>
      </c>
      <c r="AS36" s="470">
        <v>-13101</v>
      </c>
      <c r="AT36" s="470">
        <v>-97947</v>
      </c>
      <c r="AU36" s="86"/>
      <c r="AV36" s="85"/>
    </row>
    <row r="37" spans="1:49" s="206" customFormat="1" ht="15" customHeight="1" x14ac:dyDescent="0.2">
      <c r="A37" s="84" t="str">
        <f>IF(Contents!$A$1=2,"Transportation expenses","Транспортные расходы")</f>
        <v>Транспортные расходы</v>
      </c>
      <c r="B37" s="271" t="str">
        <f>IF(Contents!$A$1=2,"mln RUB","млн руб.")</f>
        <v>млн руб.</v>
      </c>
      <c r="C37" s="123"/>
      <c r="D37" s="529">
        <v>0</v>
      </c>
      <c r="E37" s="528"/>
      <c r="F37" s="529">
        <v>0</v>
      </c>
      <c r="G37" s="529">
        <v>0</v>
      </c>
      <c r="H37" s="529">
        <v>0</v>
      </c>
      <c r="I37" s="529">
        <v>0</v>
      </c>
      <c r="J37" s="529">
        <v>0</v>
      </c>
      <c r="K37" s="528"/>
      <c r="L37" s="529">
        <v>0</v>
      </c>
      <c r="M37" s="529">
        <v>0</v>
      </c>
      <c r="N37" s="529">
        <v>0</v>
      </c>
      <c r="O37" s="529">
        <v>0</v>
      </c>
      <c r="P37" s="529">
        <v>0</v>
      </c>
      <c r="Q37" s="528"/>
      <c r="R37" s="529">
        <v>0</v>
      </c>
      <c r="S37" s="529">
        <v>0</v>
      </c>
      <c r="T37" s="529">
        <v>0</v>
      </c>
      <c r="U37" s="529">
        <v>0</v>
      </c>
      <c r="V37" s="529">
        <v>0</v>
      </c>
      <c r="W37" s="529">
        <v>0</v>
      </c>
      <c r="X37" s="529">
        <v>0</v>
      </c>
      <c r="Y37" s="529">
        <v>0</v>
      </c>
      <c r="Z37" s="529">
        <v>0</v>
      </c>
      <c r="AA37" s="529">
        <v>0</v>
      </c>
      <c r="AB37" s="470">
        <v>-63713</v>
      </c>
      <c r="AC37" s="528"/>
      <c r="AD37" s="470">
        <v>-17040</v>
      </c>
      <c r="AE37" s="470">
        <v>-16778</v>
      </c>
      <c r="AF37" s="470">
        <v>-16925</v>
      </c>
      <c r="AG37" s="470">
        <v>-18846</v>
      </c>
      <c r="AH37" s="470">
        <v>-69589</v>
      </c>
      <c r="AI37" s="470"/>
      <c r="AJ37" s="470">
        <v>-16165</v>
      </c>
      <c r="AK37" s="470">
        <v>-13931</v>
      </c>
      <c r="AL37" s="470">
        <v>-13375</v>
      </c>
      <c r="AM37" s="470">
        <v>-19893</v>
      </c>
      <c r="AN37" s="470">
        <v>-63364</v>
      </c>
      <c r="AO37" s="470"/>
      <c r="AP37" s="470">
        <v>-18823</v>
      </c>
      <c r="AQ37" s="470">
        <v>-20722</v>
      </c>
      <c r="AR37" s="470">
        <v>-21620</v>
      </c>
      <c r="AS37" s="470">
        <v>-23552</v>
      </c>
      <c r="AT37" s="470">
        <v>-84717</v>
      </c>
      <c r="AU37" s="86"/>
      <c r="AV37" s="85"/>
    </row>
    <row r="38" spans="1:49" s="206" customFormat="1" ht="15" customHeight="1" x14ac:dyDescent="0.2">
      <c r="A38" s="84" t="str">
        <f>IF(Contents!$A$1=2,"Selling, general and administrative expenses","Коммерческие, общехозяйственные и административные расходы")</f>
        <v>Коммерческие, общехозяйственные и административные расходы</v>
      </c>
      <c r="B38" s="271" t="str">
        <f>IF(Contents!$A$1=2,"mln RUB","млн руб.")</f>
        <v>млн руб.</v>
      </c>
      <c r="C38" s="123"/>
      <c r="D38" s="529">
        <v>0</v>
      </c>
      <c r="E38" s="528"/>
      <c r="F38" s="529">
        <v>0</v>
      </c>
      <c r="G38" s="529">
        <v>0</v>
      </c>
      <c r="H38" s="529">
        <v>0</v>
      </c>
      <c r="I38" s="529">
        <v>0</v>
      </c>
      <c r="J38" s="529">
        <v>0</v>
      </c>
      <c r="K38" s="528"/>
      <c r="L38" s="529">
        <v>0</v>
      </c>
      <c r="M38" s="529">
        <v>0</v>
      </c>
      <c r="N38" s="529">
        <v>0</v>
      </c>
      <c r="O38" s="529">
        <v>0</v>
      </c>
      <c r="P38" s="529">
        <v>0</v>
      </c>
      <c r="Q38" s="528"/>
      <c r="R38" s="529">
        <v>0</v>
      </c>
      <c r="S38" s="529">
        <v>0</v>
      </c>
      <c r="T38" s="529">
        <v>0</v>
      </c>
      <c r="U38" s="529">
        <v>0</v>
      </c>
      <c r="V38" s="529">
        <v>0</v>
      </c>
      <c r="W38" s="529">
        <v>0</v>
      </c>
      <c r="X38" s="529">
        <v>0</v>
      </c>
      <c r="Y38" s="529">
        <v>0</v>
      </c>
      <c r="Z38" s="529">
        <v>0</v>
      </c>
      <c r="AA38" s="529">
        <v>0</v>
      </c>
      <c r="AB38" s="470">
        <v>-38559</v>
      </c>
      <c r="AC38" s="528"/>
      <c r="AD38" s="470">
        <v>-15068</v>
      </c>
      <c r="AE38" s="470">
        <v>-11008</v>
      </c>
      <c r="AF38" s="470">
        <v>-8585</v>
      </c>
      <c r="AG38" s="470">
        <v>-13303</v>
      </c>
      <c r="AH38" s="470">
        <v>-47964</v>
      </c>
      <c r="AI38" s="470"/>
      <c r="AJ38" s="470">
        <v>-12986</v>
      </c>
      <c r="AK38" s="470">
        <v>-10378</v>
      </c>
      <c r="AL38" s="470">
        <v>-9009</v>
      </c>
      <c r="AM38" s="470">
        <v>-16297</v>
      </c>
      <c r="AN38" s="470">
        <v>-48670</v>
      </c>
      <c r="AO38" s="470"/>
      <c r="AP38" s="470">
        <v>-11519</v>
      </c>
      <c r="AQ38" s="470">
        <v>-9174</v>
      </c>
      <c r="AR38" s="470">
        <v>-9137</v>
      </c>
      <c r="AS38" s="470">
        <v>-11781</v>
      </c>
      <c r="AT38" s="470">
        <v>-41611</v>
      </c>
      <c r="AU38" s="86"/>
      <c r="AV38" s="85"/>
    </row>
    <row r="39" spans="1:49" s="206" customFormat="1" ht="15" customHeight="1" x14ac:dyDescent="0.2">
      <c r="A39" s="84" t="str">
        <f>IF(Contents!$A$1=2,"Taxes other than income taxes","Налоги (кроме налога на прибыль)")</f>
        <v>Налоги (кроме налога на прибыль)</v>
      </c>
      <c r="B39" s="271" t="str">
        <f>IF(Contents!$A$1=2,"mln RUB","млн руб.")</f>
        <v>млн руб.</v>
      </c>
      <c r="C39" s="123"/>
      <c r="D39" s="529">
        <v>0</v>
      </c>
      <c r="E39" s="528"/>
      <c r="F39" s="529">
        <v>0</v>
      </c>
      <c r="G39" s="529">
        <v>0</v>
      </c>
      <c r="H39" s="529">
        <v>0</v>
      </c>
      <c r="I39" s="529">
        <v>0</v>
      </c>
      <c r="J39" s="529">
        <v>0</v>
      </c>
      <c r="K39" s="528"/>
      <c r="L39" s="529">
        <v>0</v>
      </c>
      <c r="M39" s="529">
        <v>0</v>
      </c>
      <c r="N39" s="529">
        <v>0</v>
      </c>
      <c r="O39" s="529">
        <v>0</v>
      </c>
      <c r="P39" s="529">
        <v>0</v>
      </c>
      <c r="Q39" s="528"/>
      <c r="R39" s="529">
        <v>0</v>
      </c>
      <c r="S39" s="529">
        <v>0</v>
      </c>
      <c r="T39" s="529">
        <v>0</v>
      </c>
      <c r="U39" s="529">
        <v>0</v>
      </c>
      <c r="V39" s="529">
        <v>0</v>
      </c>
      <c r="W39" s="529">
        <v>0</v>
      </c>
      <c r="X39" s="529">
        <v>0</v>
      </c>
      <c r="Y39" s="529">
        <v>0</v>
      </c>
      <c r="Z39" s="529">
        <v>0</v>
      </c>
      <c r="AA39" s="529">
        <v>0</v>
      </c>
      <c r="AB39" s="470">
        <v>-875172</v>
      </c>
      <c r="AC39" s="528"/>
      <c r="AD39" s="470">
        <v>-221876</v>
      </c>
      <c r="AE39" s="470">
        <v>-241186</v>
      </c>
      <c r="AF39" s="470">
        <v>-213331</v>
      </c>
      <c r="AG39" s="470">
        <v>-214657</v>
      </c>
      <c r="AH39" s="470">
        <v>-891051</v>
      </c>
      <c r="AI39" s="470"/>
      <c r="AJ39" s="470">
        <v>-179099</v>
      </c>
      <c r="AK39" s="470">
        <v>-76616</v>
      </c>
      <c r="AL39" s="470">
        <v>-135366</v>
      </c>
      <c r="AM39" s="470">
        <v>-149506</v>
      </c>
      <c r="AN39" s="470">
        <v>-540587</v>
      </c>
      <c r="AO39" s="470"/>
      <c r="AP39" s="470">
        <v>-228670</v>
      </c>
      <c r="AQ39" s="470">
        <v>-319828</v>
      </c>
      <c r="AR39" s="470">
        <v>-342991</v>
      </c>
      <c r="AS39" s="470">
        <v>-384644</v>
      </c>
      <c r="AT39" s="470">
        <v>-1276133</v>
      </c>
      <c r="AU39" s="86"/>
      <c r="AV39" s="85"/>
    </row>
    <row r="40" spans="1:49" s="206" customFormat="1" ht="15" customHeight="1" x14ac:dyDescent="0.2">
      <c r="A40" s="84" t="str">
        <f>IF(Contents!$A$1=2,"Excise and export tariffs","Акцизы и экспортные пошлины")</f>
        <v>Акцизы и экспортные пошлины</v>
      </c>
      <c r="B40" s="271" t="str">
        <f>IF(Contents!$A$1=2,"mln RUB","млн руб.")</f>
        <v>млн руб.</v>
      </c>
      <c r="C40" s="123"/>
      <c r="D40" s="529">
        <v>0</v>
      </c>
      <c r="E40" s="528"/>
      <c r="F40" s="529">
        <v>0</v>
      </c>
      <c r="G40" s="529">
        <v>0</v>
      </c>
      <c r="H40" s="529">
        <v>0</v>
      </c>
      <c r="I40" s="529">
        <v>0</v>
      </c>
      <c r="J40" s="529">
        <v>0</v>
      </c>
      <c r="K40" s="528"/>
      <c r="L40" s="529">
        <v>0</v>
      </c>
      <c r="M40" s="529">
        <v>0</v>
      </c>
      <c r="N40" s="529">
        <v>0</v>
      </c>
      <c r="O40" s="529">
        <v>0</v>
      </c>
      <c r="P40" s="529">
        <v>0</v>
      </c>
      <c r="Q40" s="528"/>
      <c r="R40" s="529">
        <v>0</v>
      </c>
      <c r="S40" s="529">
        <v>0</v>
      </c>
      <c r="T40" s="529">
        <v>0</v>
      </c>
      <c r="U40" s="529">
        <v>0</v>
      </c>
      <c r="V40" s="529">
        <v>0</v>
      </c>
      <c r="W40" s="529">
        <v>0</v>
      </c>
      <c r="X40" s="529">
        <v>0</v>
      </c>
      <c r="Y40" s="529">
        <v>0</v>
      </c>
      <c r="Z40" s="529">
        <v>0</v>
      </c>
      <c r="AA40" s="529">
        <v>0</v>
      </c>
      <c r="AB40" s="470">
        <v>-209089</v>
      </c>
      <c r="AC40" s="528"/>
      <c r="AD40" s="470">
        <v>-30510</v>
      </c>
      <c r="AE40" s="470">
        <v>-38943</v>
      </c>
      <c r="AF40" s="470">
        <v>-34211</v>
      </c>
      <c r="AG40" s="470">
        <v>-33333</v>
      </c>
      <c r="AH40" s="470">
        <v>-136998</v>
      </c>
      <c r="AI40" s="470"/>
      <c r="AJ40" s="470">
        <v>-30482</v>
      </c>
      <c r="AK40" s="470">
        <v>-11071</v>
      </c>
      <c r="AL40" s="470">
        <v>-11227</v>
      </c>
      <c r="AM40" s="470">
        <v>-15529</v>
      </c>
      <c r="AN40" s="470">
        <v>-68309</v>
      </c>
      <c r="AO40" s="470"/>
      <c r="AP40" s="470">
        <v>-14439</v>
      </c>
      <c r="AQ40" s="470">
        <v>-20015</v>
      </c>
      <c r="AR40" s="470">
        <v>-20536</v>
      </c>
      <c r="AS40" s="470">
        <v>-28071</v>
      </c>
      <c r="AT40" s="470">
        <v>-83061</v>
      </c>
      <c r="AU40" s="86"/>
      <c r="AV40" s="85"/>
    </row>
    <row r="41" spans="1:49" s="206" customFormat="1" ht="15" customHeight="1" x14ac:dyDescent="0.2">
      <c r="A41" s="369" t="str">
        <f>IF(Contents!$A$1=2,"Exploration expenses","Затраты на геолого-разведочные работы")</f>
        <v>Затраты на геолого-разведочные работы</v>
      </c>
      <c r="B41" s="273" t="str">
        <f>IF(Contents!$A$1=2,"mln RUB","млн руб.")</f>
        <v>млн руб.</v>
      </c>
      <c r="C41" s="123"/>
      <c r="D41" s="542">
        <v>0</v>
      </c>
      <c r="E41" s="528"/>
      <c r="F41" s="542">
        <v>0</v>
      </c>
      <c r="G41" s="542">
        <v>0</v>
      </c>
      <c r="H41" s="542">
        <v>0</v>
      </c>
      <c r="I41" s="542">
        <v>0</v>
      </c>
      <c r="J41" s="542">
        <v>0</v>
      </c>
      <c r="K41" s="528"/>
      <c r="L41" s="542">
        <v>0</v>
      </c>
      <c r="M41" s="542">
        <v>0</v>
      </c>
      <c r="N41" s="542">
        <v>0</v>
      </c>
      <c r="O41" s="542">
        <v>0</v>
      </c>
      <c r="P41" s="542">
        <v>0</v>
      </c>
      <c r="Q41" s="528"/>
      <c r="R41" s="542">
        <v>0</v>
      </c>
      <c r="S41" s="542">
        <v>0</v>
      </c>
      <c r="T41" s="542">
        <v>0</v>
      </c>
      <c r="U41" s="542">
        <v>0</v>
      </c>
      <c r="V41" s="542">
        <v>0</v>
      </c>
      <c r="W41" s="542">
        <v>0</v>
      </c>
      <c r="X41" s="542">
        <v>0</v>
      </c>
      <c r="Y41" s="542">
        <v>0</v>
      </c>
      <c r="Z41" s="542">
        <v>0</v>
      </c>
      <c r="AA41" s="542">
        <v>0</v>
      </c>
      <c r="AB41" s="530">
        <v>-3582</v>
      </c>
      <c r="AC41" s="528"/>
      <c r="AD41" s="530">
        <v>-912</v>
      </c>
      <c r="AE41" s="530">
        <v>-596</v>
      </c>
      <c r="AF41" s="530">
        <v>-661</v>
      </c>
      <c r="AG41" s="530">
        <v>-7180</v>
      </c>
      <c r="AH41" s="530">
        <v>-9348</v>
      </c>
      <c r="AI41" s="470"/>
      <c r="AJ41" s="530">
        <v>-381</v>
      </c>
      <c r="AK41" s="530">
        <v>-2703</v>
      </c>
      <c r="AL41" s="530">
        <v>-438</v>
      </c>
      <c r="AM41" s="530">
        <v>-2579</v>
      </c>
      <c r="AN41" s="530">
        <v>-6101</v>
      </c>
      <c r="AO41" s="470"/>
      <c r="AP41" s="530">
        <v>-413</v>
      </c>
      <c r="AQ41" s="530">
        <v>-1473</v>
      </c>
      <c r="AR41" s="530">
        <v>-1176</v>
      </c>
      <c r="AS41" s="530">
        <v>-4016</v>
      </c>
      <c r="AT41" s="530">
        <v>-7078</v>
      </c>
      <c r="AU41" s="86"/>
      <c r="AV41" s="85"/>
    </row>
    <row r="42" spans="1:49" s="206" customFormat="1" ht="15" customHeight="1" x14ac:dyDescent="0.2">
      <c r="A42" s="124" t="str">
        <f>IF(Contents!$A$1=2,"EBITDA of Exploration and production segment","EBITDA сегмента «Разведка и добыча»")</f>
        <v>EBITDA сегмента «Разведка и добыча»</v>
      </c>
      <c r="B42" s="364" t="str">
        <f>IF(Contents!$A$1=2,"mln RUB","млн руб.")</f>
        <v>млн руб.</v>
      </c>
      <c r="C42" s="365"/>
      <c r="D42" s="524">
        <v>0</v>
      </c>
      <c r="E42" s="525"/>
      <c r="F42" s="524">
        <v>0</v>
      </c>
      <c r="G42" s="524">
        <v>0</v>
      </c>
      <c r="H42" s="524">
        <v>0</v>
      </c>
      <c r="I42" s="524">
        <v>0</v>
      </c>
      <c r="J42" s="524">
        <v>0</v>
      </c>
      <c r="K42" s="525"/>
      <c r="L42" s="524">
        <v>0</v>
      </c>
      <c r="M42" s="524">
        <v>0</v>
      </c>
      <c r="N42" s="524">
        <v>0</v>
      </c>
      <c r="O42" s="524">
        <v>0</v>
      </c>
      <c r="P42" s="524">
        <v>0</v>
      </c>
      <c r="Q42" s="525"/>
      <c r="R42" s="524">
        <v>0</v>
      </c>
      <c r="S42" s="524">
        <v>0</v>
      </c>
      <c r="T42" s="524">
        <v>0</v>
      </c>
      <c r="U42" s="524">
        <v>0</v>
      </c>
      <c r="V42" s="524">
        <v>0</v>
      </c>
      <c r="W42" s="524">
        <v>0</v>
      </c>
      <c r="X42" s="524">
        <v>0</v>
      </c>
      <c r="Y42" s="524">
        <v>0</v>
      </c>
      <c r="Z42" s="524">
        <v>0</v>
      </c>
      <c r="AA42" s="524">
        <v>0</v>
      </c>
      <c r="AB42" s="467">
        <v>870287</v>
      </c>
      <c r="AC42" s="525"/>
      <c r="AD42" s="467">
        <v>235132</v>
      </c>
      <c r="AE42" s="467">
        <v>235074</v>
      </c>
      <c r="AF42" s="467">
        <v>211958</v>
      </c>
      <c r="AG42" s="467">
        <v>211786</v>
      </c>
      <c r="AH42" s="467">
        <v>893950</v>
      </c>
      <c r="AI42" s="467"/>
      <c r="AJ42" s="467">
        <v>109189</v>
      </c>
      <c r="AK42" s="467">
        <v>72346</v>
      </c>
      <c r="AL42" s="467">
        <v>151979</v>
      </c>
      <c r="AM42" s="467">
        <v>166567</v>
      </c>
      <c r="AN42" s="467">
        <v>500081</v>
      </c>
      <c r="AO42" s="467"/>
      <c r="AP42" s="467">
        <v>223793</v>
      </c>
      <c r="AQ42" s="467">
        <v>220904</v>
      </c>
      <c r="AR42" s="467">
        <v>245036</v>
      </c>
      <c r="AS42" s="467">
        <v>296522</v>
      </c>
      <c r="AT42" s="467">
        <v>986255</v>
      </c>
      <c r="AU42" s="366"/>
      <c r="AV42" s="92"/>
      <c r="AW42" s="110"/>
    </row>
    <row r="43" spans="1:49" s="206" customFormat="1" ht="15" customHeight="1" x14ac:dyDescent="0.2">
      <c r="A43" s="136"/>
      <c r="B43" s="271"/>
      <c r="C43" s="123"/>
      <c r="D43" s="529"/>
      <c r="E43" s="528"/>
      <c r="F43" s="529"/>
      <c r="G43" s="529"/>
      <c r="H43" s="529"/>
      <c r="I43" s="529"/>
      <c r="J43" s="529"/>
      <c r="K43" s="528"/>
      <c r="L43" s="529"/>
      <c r="M43" s="529"/>
      <c r="N43" s="529"/>
      <c r="O43" s="529"/>
      <c r="P43" s="529"/>
      <c r="Q43" s="528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470"/>
      <c r="AC43" s="528"/>
      <c r="AD43" s="470"/>
      <c r="AE43" s="470"/>
      <c r="AF43" s="470"/>
      <c r="AG43" s="470"/>
      <c r="AH43" s="470"/>
      <c r="AI43" s="470"/>
      <c r="AJ43" s="470"/>
      <c r="AK43" s="470"/>
      <c r="AL43" s="470"/>
      <c r="AM43" s="470"/>
      <c r="AN43" s="470"/>
      <c r="AO43" s="470"/>
      <c r="AP43" s="470"/>
      <c r="AQ43" s="470"/>
      <c r="AR43" s="470"/>
      <c r="AS43" s="470"/>
      <c r="AT43" s="470"/>
      <c r="AU43" s="86"/>
      <c r="AV43" s="85"/>
    </row>
    <row r="44" spans="1:49" s="206" customFormat="1" ht="15" customHeight="1" x14ac:dyDescent="0.2">
      <c r="A44" s="124" t="str">
        <f>IF(Contents!$A$1=2,"Refining, marketing and distribution segment","Сегмент «Переработка, торговля и сбыт»")</f>
        <v>Сегмент «Переработка, торговля и сбыт»</v>
      </c>
      <c r="B44" s="271" t="str">
        <f>IF(Contents!$A$1=2,"mln RUB","млн руб.")</f>
        <v>млн руб.</v>
      </c>
      <c r="C44" s="123"/>
      <c r="D44" s="529">
        <v>0</v>
      </c>
      <c r="E44" s="528"/>
      <c r="F44" s="529">
        <v>0</v>
      </c>
      <c r="G44" s="529">
        <v>0</v>
      </c>
      <c r="H44" s="529">
        <v>0</v>
      </c>
      <c r="I44" s="529">
        <v>0</v>
      </c>
      <c r="J44" s="529">
        <v>0</v>
      </c>
      <c r="K44" s="528"/>
      <c r="L44" s="529">
        <v>0</v>
      </c>
      <c r="M44" s="529">
        <v>0</v>
      </c>
      <c r="N44" s="529">
        <v>0</v>
      </c>
      <c r="O44" s="529">
        <v>0</v>
      </c>
      <c r="P44" s="529">
        <v>0</v>
      </c>
      <c r="Q44" s="528"/>
      <c r="R44" s="529">
        <v>0</v>
      </c>
      <c r="S44" s="529">
        <v>0</v>
      </c>
      <c r="T44" s="529">
        <v>0</v>
      </c>
      <c r="U44" s="529">
        <v>0</v>
      </c>
      <c r="V44" s="529">
        <v>0</v>
      </c>
      <c r="W44" s="529">
        <v>0</v>
      </c>
      <c r="X44" s="529">
        <v>0</v>
      </c>
      <c r="Y44" s="529">
        <v>0</v>
      </c>
      <c r="Z44" s="529">
        <v>0</v>
      </c>
      <c r="AA44" s="529">
        <v>0</v>
      </c>
      <c r="AB44" s="470"/>
      <c r="AC44" s="528"/>
      <c r="AD44" s="470"/>
      <c r="AE44" s="470"/>
      <c r="AF44" s="470"/>
      <c r="AG44" s="470"/>
      <c r="AH44" s="470"/>
      <c r="AI44" s="470"/>
      <c r="AJ44" s="470"/>
      <c r="AK44" s="470"/>
      <c r="AL44" s="470"/>
      <c r="AM44" s="470"/>
      <c r="AN44" s="470"/>
      <c r="AO44" s="470"/>
      <c r="AP44" s="470"/>
      <c r="AQ44" s="470"/>
      <c r="AR44" s="470"/>
      <c r="AS44" s="470"/>
      <c r="AT44" s="470"/>
      <c r="AU44" s="86"/>
      <c r="AV44" s="85"/>
    </row>
    <row r="45" spans="1:49" s="206" customFormat="1" ht="15" customHeight="1" x14ac:dyDescent="0.2">
      <c r="A45" s="84" t="str">
        <f>IF(Contents!$A$1=2,"Sales (including excise and export tariffs)","Выручка")</f>
        <v>Выручка</v>
      </c>
      <c r="B45" s="271" t="str">
        <f>IF(Contents!$A$1=2,"mln RUB","млн руб.")</f>
        <v>млн руб.</v>
      </c>
      <c r="C45" s="123"/>
      <c r="D45" s="529">
        <v>0</v>
      </c>
      <c r="E45" s="528"/>
      <c r="F45" s="529">
        <v>0</v>
      </c>
      <c r="G45" s="529">
        <v>0</v>
      </c>
      <c r="H45" s="529">
        <v>0</v>
      </c>
      <c r="I45" s="529">
        <v>0</v>
      </c>
      <c r="J45" s="529">
        <v>0</v>
      </c>
      <c r="K45" s="528"/>
      <c r="L45" s="529">
        <v>0</v>
      </c>
      <c r="M45" s="529">
        <v>0</v>
      </c>
      <c r="N45" s="529">
        <v>0</v>
      </c>
      <c r="O45" s="529">
        <v>0</v>
      </c>
      <c r="P45" s="529">
        <v>0</v>
      </c>
      <c r="Q45" s="528"/>
      <c r="R45" s="529">
        <v>0</v>
      </c>
      <c r="S45" s="529">
        <v>0</v>
      </c>
      <c r="T45" s="529">
        <v>0</v>
      </c>
      <c r="U45" s="529">
        <v>0</v>
      </c>
      <c r="V45" s="529">
        <v>0</v>
      </c>
      <c r="W45" s="529">
        <v>0</v>
      </c>
      <c r="X45" s="529">
        <v>0</v>
      </c>
      <c r="Y45" s="529">
        <v>0</v>
      </c>
      <c r="Z45" s="529">
        <v>0</v>
      </c>
      <c r="AA45" s="529">
        <v>0</v>
      </c>
      <c r="AB45" s="470">
        <v>7834339</v>
      </c>
      <c r="AC45" s="528"/>
      <c r="AD45" s="470">
        <v>1793162</v>
      </c>
      <c r="AE45" s="470">
        <v>2077088</v>
      </c>
      <c r="AF45" s="470">
        <v>1902350</v>
      </c>
      <c r="AG45" s="470">
        <v>1851598</v>
      </c>
      <c r="AH45" s="470">
        <v>7624198</v>
      </c>
      <c r="AI45" s="470"/>
      <c r="AJ45" s="470">
        <v>1628374</v>
      </c>
      <c r="AK45" s="470">
        <v>971426</v>
      </c>
      <c r="AL45" s="470">
        <v>1434361</v>
      </c>
      <c r="AM45" s="470">
        <v>1491819</v>
      </c>
      <c r="AN45" s="470">
        <v>5525980</v>
      </c>
      <c r="AO45" s="470"/>
      <c r="AP45" s="470">
        <v>1824219</v>
      </c>
      <c r="AQ45" s="470">
        <v>2166692</v>
      </c>
      <c r="AR45" s="470">
        <v>2541730</v>
      </c>
      <c r="AS45" s="470">
        <v>2702891</v>
      </c>
      <c r="AT45" s="418">
        <v>9235532</v>
      </c>
      <c r="AU45" s="86"/>
      <c r="AV45" s="85"/>
    </row>
    <row r="46" spans="1:49" s="206" customFormat="1" ht="15" customHeight="1" x14ac:dyDescent="0.2">
      <c r="A46" s="84" t="str">
        <f>IF(Contents!$A$1=2,"Operating expenses","Операционные расходы")</f>
        <v>Операционные расходы</v>
      </c>
      <c r="B46" s="271" t="str">
        <f>IF(Contents!$A$1=2,"mln RUB","млн руб.")</f>
        <v>млн руб.</v>
      </c>
      <c r="C46" s="123"/>
      <c r="D46" s="529">
        <v>0</v>
      </c>
      <c r="E46" s="528"/>
      <c r="F46" s="529">
        <v>0</v>
      </c>
      <c r="G46" s="529">
        <v>0</v>
      </c>
      <c r="H46" s="529">
        <v>0</v>
      </c>
      <c r="I46" s="529">
        <v>0</v>
      </c>
      <c r="J46" s="529">
        <v>0</v>
      </c>
      <c r="K46" s="528"/>
      <c r="L46" s="529">
        <v>0</v>
      </c>
      <c r="M46" s="529">
        <v>0</v>
      </c>
      <c r="N46" s="529">
        <v>0</v>
      </c>
      <c r="O46" s="529">
        <v>0</v>
      </c>
      <c r="P46" s="529">
        <v>0</v>
      </c>
      <c r="Q46" s="528"/>
      <c r="R46" s="529">
        <v>0</v>
      </c>
      <c r="S46" s="529">
        <v>0</v>
      </c>
      <c r="T46" s="529">
        <v>0</v>
      </c>
      <c r="U46" s="529">
        <v>0</v>
      </c>
      <c r="V46" s="529">
        <v>0</v>
      </c>
      <c r="W46" s="529">
        <v>0</v>
      </c>
      <c r="X46" s="529">
        <v>0</v>
      </c>
      <c r="Y46" s="529">
        <v>0</v>
      </c>
      <c r="Z46" s="529">
        <v>0</v>
      </c>
      <c r="AA46" s="529">
        <v>0</v>
      </c>
      <c r="AB46" s="470">
        <v>-243214</v>
      </c>
      <c r="AC46" s="528"/>
      <c r="AD46" s="470">
        <v>-55897</v>
      </c>
      <c r="AE46" s="470">
        <v>-55887</v>
      </c>
      <c r="AF46" s="470">
        <v>-60148</v>
      </c>
      <c r="AG46" s="470">
        <v>-56644</v>
      </c>
      <c r="AH46" s="470">
        <v>-228576</v>
      </c>
      <c r="AI46" s="470"/>
      <c r="AJ46" s="470">
        <v>-48977</v>
      </c>
      <c r="AK46" s="470">
        <v>-40505</v>
      </c>
      <c r="AL46" s="470">
        <v>-51013</v>
      </c>
      <c r="AM46" s="470">
        <v>-55063</v>
      </c>
      <c r="AN46" s="470">
        <v>-195558</v>
      </c>
      <c r="AO46" s="470"/>
      <c r="AP46" s="470">
        <v>-58015</v>
      </c>
      <c r="AQ46" s="470">
        <v>-67126</v>
      </c>
      <c r="AR46" s="470">
        <v>-70797</v>
      </c>
      <c r="AS46" s="470">
        <v>-80232</v>
      </c>
      <c r="AT46" s="470">
        <v>-276170</v>
      </c>
      <c r="AU46" s="86"/>
      <c r="AV46" s="85"/>
    </row>
    <row r="47" spans="1:49" s="206" customFormat="1" ht="15" customHeight="1" x14ac:dyDescent="0.2">
      <c r="A47" s="84" t="str">
        <f>IF(Contents!$A$1=2,"Cost of purchased crude oil, gas and products","Стоимость приобретённых нефти, газа и продуктов их переработки")</f>
        <v>Стоимость приобретённых нефти, газа и продуктов их переработки</v>
      </c>
      <c r="B47" s="271" t="str">
        <f>IF(Contents!$A$1=2,"mln RUB","млн руб.")</f>
        <v>млн руб.</v>
      </c>
      <c r="C47" s="123"/>
      <c r="D47" s="529">
        <v>0</v>
      </c>
      <c r="E47" s="528"/>
      <c r="F47" s="529">
        <v>0</v>
      </c>
      <c r="G47" s="529">
        <v>0</v>
      </c>
      <c r="H47" s="529">
        <v>0</v>
      </c>
      <c r="I47" s="529">
        <v>0</v>
      </c>
      <c r="J47" s="529">
        <v>0</v>
      </c>
      <c r="K47" s="528"/>
      <c r="L47" s="529">
        <v>0</v>
      </c>
      <c r="M47" s="529">
        <v>0</v>
      </c>
      <c r="N47" s="529">
        <v>0</v>
      </c>
      <c r="O47" s="529">
        <v>0</v>
      </c>
      <c r="P47" s="529">
        <v>0</v>
      </c>
      <c r="Q47" s="528"/>
      <c r="R47" s="529">
        <v>0</v>
      </c>
      <c r="S47" s="529">
        <v>0</v>
      </c>
      <c r="T47" s="529">
        <v>0</v>
      </c>
      <c r="U47" s="529">
        <v>0</v>
      </c>
      <c r="V47" s="529">
        <v>0</v>
      </c>
      <c r="W47" s="529">
        <v>0</v>
      </c>
      <c r="X47" s="529">
        <v>0</v>
      </c>
      <c r="Y47" s="529">
        <v>0</v>
      </c>
      <c r="Z47" s="529">
        <v>0</v>
      </c>
      <c r="AA47" s="529">
        <v>0</v>
      </c>
      <c r="AB47" s="543">
        <v>-6584719</v>
      </c>
      <c r="AC47" s="528"/>
      <c r="AD47" s="543">
        <v>-1487422</v>
      </c>
      <c r="AE47" s="470">
        <v>-1775831</v>
      </c>
      <c r="AF47" s="543">
        <v>-1557851</v>
      </c>
      <c r="AG47" s="543">
        <v>-1541297</v>
      </c>
      <c r="AH47" s="543">
        <v>-6362401</v>
      </c>
      <c r="AI47" s="543"/>
      <c r="AJ47" s="543">
        <v>-1352377</v>
      </c>
      <c r="AK47" s="543">
        <v>-637111</v>
      </c>
      <c r="AL47" s="543">
        <v>-1110035</v>
      </c>
      <c r="AM47" s="543">
        <v>-1203280</v>
      </c>
      <c r="AN47" s="543">
        <v>-4302803</v>
      </c>
      <c r="AO47" s="543"/>
      <c r="AP47" s="543">
        <v>-1497515</v>
      </c>
      <c r="AQ47" s="543">
        <v>-1830805</v>
      </c>
      <c r="AR47" s="543">
        <v>-2214631</v>
      </c>
      <c r="AS47" s="543">
        <v>-2398556</v>
      </c>
      <c r="AT47" s="543">
        <v>-7941507</v>
      </c>
      <c r="AU47" s="86"/>
      <c r="AV47" s="85"/>
    </row>
    <row r="48" spans="1:49" s="206" customFormat="1" ht="15" customHeight="1" x14ac:dyDescent="0.2">
      <c r="A48" s="84" t="str">
        <f>IF(Contents!$A$1=2,"Transportation expenses","Транспортные расходы")</f>
        <v>Транспортные расходы</v>
      </c>
      <c r="B48" s="271" t="str">
        <f>IF(Contents!$A$1=2,"mln RUB","млн руб.")</f>
        <v>млн руб.</v>
      </c>
      <c r="C48" s="123"/>
      <c r="D48" s="529">
        <v>0</v>
      </c>
      <c r="E48" s="528"/>
      <c r="F48" s="529">
        <v>0</v>
      </c>
      <c r="G48" s="529">
        <v>0</v>
      </c>
      <c r="H48" s="529">
        <v>0</v>
      </c>
      <c r="I48" s="529">
        <v>0</v>
      </c>
      <c r="J48" s="529">
        <v>0</v>
      </c>
      <c r="K48" s="528"/>
      <c r="L48" s="529">
        <v>0</v>
      </c>
      <c r="M48" s="529">
        <v>0</v>
      </c>
      <c r="N48" s="529">
        <v>0</v>
      </c>
      <c r="O48" s="529">
        <v>0</v>
      </c>
      <c r="P48" s="529">
        <v>0</v>
      </c>
      <c r="Q48" s="528"/>
      <c r="R48" s="529">
        <v>0</v>
      </c>
      <c r="S48" s="529">
        <v>0</v>
      </c>
      <c r="T48" s="529">
        <v>0</v>
      </c>
      <c r="U48" s="529">
        <v>0</v>
      </c>
      <c r="V48" s="529">
        <v>0</v>
      </c>
      <c r="W48" s="529">
        <v>0</v>
      </c>
      <c r="X48" s="529">
        <v>0</v>
      </c>
      <c r="Y48" s="529">
        <v>0</v>
      </c>
      <c r="Z48" s="529">
        <v>0</v>
      </c>
      <c r="AA48" s="529">
        <v>0</v>
      </c>
      <c r="AB48" s="470">
        <v>-218851</v>
      </c>
      <c r="AC48" s="528"/>
      <c r="AD48" s="470">
        <v>-59819</v>
      </c>
      <c r="AE48" s="470">
        <v>-52005</v>
      </c>
      <c r="AF48" s="470">
        <v>-55798</v>
      </c>
      <c r="AG48" s="470">
        <v>-61385</v>
      </c>
      <c r="AH48" s="470">
        <v>-229007</v>
      </c>
      <c r="AI48" s="470"/>
      <c r="AJ48" s="470">
        <v>-73318</v>
      </c>
      <c r="AK48" s="470">
        <v>-79335</v>
      </c>
      <c r="AL48" s="470">
        <v>-56781</v>
      </c>
      <c r="AM48" s="470">
        <v>-60222</v>
      </c>
      <c r="AN48" s="470">
        <v>-269656</v>
      </c>
      <c r="AO48" s="470"/>
      <c r="AP48" s="470">
        <v>-58021</v>
      </c>
      <c r="AQ48" s="470">
        <v>-60162</v>
      </c>
      <c r="AR48" s="470">
        <v>-54523</v>
      </c>
      <c r="AS48" s="470">
        <v>-59446</v>
      </c>
      <c r="AT48" s="470">
        <v>-232152</v>
      </c>
      <c r="AU48" s="86"/>
      <c r="AV48" s="85"/>
    </row>
    <row r="49" spans="1:48" s="206" customFormat="1" ht="15" customHeight="1" x14ac:dyDescent="0.2">
      <c r="A49" s="84" t="str">
        <f>IF(Contents!$A$1=2,"Selling, general and administrative expenses","Коммерческие, общехозяйственные и административные расходы")</f>
        <v>Коммерческие, общехозяйственные и административные расходы</v>
      </c>
      <c r="B49" s="271" t="str">
        <f>IF(Contents!$A$1=2,"mln RUB","млн руб.")</f>
        <v>млн руб.</v>
      </c>
      <c r="C49" s="123"/>
      <c r="D49" s="529">
        <v>0</v>
      </c>
      <c r="E49" s="528"/>
      <c r="F49" s="529">
        <v>0</v>
      </c>
      <c r="G49" s="529">
        <v>0</v>
      </c>
      <c r="H49" s="529">
        <v>0</v>
      </c>
      <c r="I49" s="529">
        <v>0</v>
      </c>
      <c r="J49" s="529">
        <v>0</v>
      </c>
      <c r="K49" s="528"/>
      <c r="L49" s="529">
        <v>0</v>
      </c>
      <c r="M49" s="529">
        <v>0</v>
      </c>
      <c r="N49" s="529">
        <v>0</v>
      </c>
      <c r="O49" s="529">
        <v>0</v>
      </c>
      <c r="P49" s="529">
        <v>0</v>
      </c>
      <c r="Q49" s="528"/>
      <c r="R49" s="529">
        <v>0</v>
      </c>
      <c r="S49" s="529">
        <v>0</v>
      </c>
      <c r="T49" s="529">
        <v>0</v>
      </c>
      <c r="U49" s="529">
        <v>0</v>
      </c>
      <c r="V49" s="529">
        <v>0</v>
      </c>
      <c r="W49" s="529">
        <v>0</v>
      </c>
      <c r="X49" s="529">
        <v>0</v>
      </c>
      <c r="Y49" s="529">
        <v>0</v>
      </c>
      <c r="Z49" s="529">
        <v>0</v>
      </c>
      <c r="AA49" s="529">
        <v>0</v>
      </c>
      <c r="AB49" s="470">
        <v>-127089</v>
      </c>
      <c r="AC49" s="528"/>
      <c r="AD49" s="470">
        <v>-30145</v>
      </c>
      <c r="AE49" s="470">
        <v>-29783</v>
      </c>
      <c r="AF49" s="470">
        <v>-30016</v>
      </c>
      <c r="AG49" s="470">
        <v>-31439</v>
      </c>
      <c r="AH49" s="470">
        <v>-121383</v>
      </c>
      <c r="AI49" s="470"/>
      <c r="AJ49" s="470">
        <v>-27176</v>
      </c>
      <c r="AK49" s="470">
        <v>-33248</v>
      </c>
      <c r="AL49" s="470">
        <v>-28590</v>
      </c>
      <c r="AM49" s="470">
        <v>-31593</v>
      </c>
      <c r="AN49" s="470">
        <v>-120607</v>
      </c>
      <c r="AO49" s="470"/>
      <c r="AP49" s="470">
        <v>-29842</v>
      </c>
      <c r="AQ49" s="470">
        <v>-31776</v>
      </c>
      <c r="AR49" s="470">
        <v>-36403</v>
      </c>
      <c r="AS49" s="470">
        <v>-37119</v>
      </c>
      <c r="AT49" s="470">
        <v>-135140</v>
      </c>
      <c r="AU49" s="86"/>
      <c r="AV49" s="85"/>
    </row>
    <row r="50" spans="1:48" s="206" customFormat="1" ht="15" customHeight="1" x14ac:dyDescent="0.2">
      <c r="A50" s="84" t="str">
        <f>IF(Contents!$A$1=2,"Taxes other than income taxes","Налоги (кроме налога на прибыль)")</f>
        <v>Налоги (кроме налога на прибыль)</v>
      </c>
      <c r="B50" s="271" t="str">
        <f>IF(Contents!$A$1=2,"mln RUB","млн руб.")</f>
        <v>млн руб.</v>
      </c>
      <c r="C50" s="123"/>
      <c r="D50" s="529">
        <v>0</v>
      </c>
      <c r="E50" s="528"/>
      <c r="F50" s="529">
        <v>0</v>
      </c>
      <c r="G50" s="529">
        <v>0</v>
      </c>
      <c r="H50" s="529">
        <v>0</v>
      </c>
      <c r="I50" s="529">
        <v>0</v>
      </c>
      <c r="J50" s="529">
        <v>0</v>
      </c>
      <c r="K50" s="528"/>
      <c r="L50" s="529">
        <v>0</v>
      </c>
      <c r="M50" s="529">
        <v>0</v>
      </c>
      <c r="N50" s="529">
        <v>0</v>
      </c>
      <c r="O50" s="529">
        <v>0</v>
      </c>
      <c r="P50" s="529">
        <v>0</v>
      </c>
      <c r="Q50" s="528"/>
      <c r="R50" s="529">
        <v>0</v>
      </c>
      <c r="S50" s="529">
        <v>0</v>
      </c>
      <c r="T50" s="529">
        <v>0</v>
      </c>
      <c r="U50" s="529">
        <v>0</v>
      </c>
      <c r="V50" s="529">
        <v>0</v>
      </c>
      <c r="W50" s="529">
        <v>0</v>
      </c>
      <c r="X50" s="529">
        <v>0</v>
      </c>
      <c r="Y50" s="529">
        <v>0</v>
      </c>
      <c r="Z50" s="529">
        <v>0</v>
      </c>
      <c r="AA50" s="529">
        <v>0</v>
      </c>
      <c r="AB50" s="470">
        <v>-24480</v>
      </c>
      <c r="AC50" s="528"/>
      <c r="AD50" s="470">
        <v>-6128</v>
      </c>
      <c r="AE50" s="470">
        <v>-6346</v>
      </c>
      <c r="AF50" s="470">
        <v>-6607</v>
      </c>
      <c r="AG50" s="470">
        <v>-6242</v>
      </c>
      <c r="AH50" s="470">
        <v>-25323</v>
      </c>
      <c r="AI50" s="470"/>
      <c r="AJ50" s="470">
        <v>-6351</v>
      </c>
      <c r="AK50" s="470">
        <v>-6511</v>
      </c>
      <c r="AL50" s="470">
        <v>-6538</v>
      </c>
      <c r="AM50" s="470">
        <v>-6508</v>
      </c>
      <c r="AN50" s="470">
        <v>-25908</v>
      </c>
      <c r="AO50" s="470"/>
      <c r="AP50" s="470">
        <v>-6644</v>
      </c>
      <c r="AQ50" s="470">
        <v>-7476</v>
      </c>
      <c r="AR50" s="470">
        <v>-7098</v>
      </c>
      <c r="AS50" s="470">
        <v>-6454</v>
      </c>
      <c r="AT50" s="470">
        <v>-27672</v>
      </c>
      <c r="AU50" s="86"/>
      <c r="AV50" s="85"/>
    </row>
    <row r="51" spans="1:48" s="206" customFormat="1" ht="15" customHeight="1" x14ac:dyDescent="0.2">
      <c r="A51" s="369" t="str">
        <f>IF(Contents!$A$1=2,"Excise and export tariffs","Акцизы и экспортные пошлины")</f>
        <v>Акцизы и экспортные пошлины</v>
      </c>
      <c r="B51" s="362" t="str">
        <f>IF(Contents!$A$1=2,"mln RUB","млн руб.")</f>
        <v>млн руб.</v>
      </c>
      <c r="C51" s="123"/>
      <c r="D51" s="544">
        <v>0</v>
      </c>
      <c r="E51" s="528"/>
      <c r="F51" s="544">
        <v>0</v>
      </c>
      <c r="G51" s="544">
        <v>0</v>
      </c>
      <c r="H51" s="544">
        <v>0</v>
      </c>
      <c r="I51" s="544">
        <v>0</v>
      </c>
      <c r="J51" s="544">
        <v>0</v>
      </c>
      <c r="K51" s="528"/>
      <c r="L51" s="544">
        <v>0</v>
      </c>
      <c r="M51" s="544">
        <v>0</v>
      </c>
      <c r="N51" s="544">
        <v>0</v>
      </c>
      <c r="O51" s="544">
        <v>0</v>
      </c>
      <c r="P51" s="544">
        <v>0</v>
      </c>
      <c r="Q51" s="528"/>
      <c r="R51" s="544">
        <v>0</v>
      </c>
      <c r="S51" s="544">
        <v>0</v>
      </c>
      <c r="T51" s="544">
        <v>0</v>
      </c>
      <c r="U51" s="544">
        <v>0</v>
      </c>
      <c r="V51" s="544">
        <v>0</v>
      </c>
      <c r="W51" s="544">
        <v>0</v>
      </c>
      <c r="X51" s="544">
        <v>0</v>
      </c>
      <c r="Y51" s="544">
        <v>0</v>
      </c>
      <c r="Z51" s="544">
        <v>0</v>
      </c>
      <c r="AA51" s="544">
        <v>0</v>
      </c>
      <c r="AB51" s="541">
        <v>-353842</v>
      </c>
      <c r="AC51" s="528"/>
      <c r="AD51" s="541">
        <v>-73813</v>
      </c>
      <c r="AE51" s="541">
        <v>-64069</v>
      </c>
      <c r="AF51" s="541">
        <v>-75550</v>
      </c>
      <c r="AG51" s="541">
        <v>-72434</v>
      </c>
      <c r="AH51" s="541">
        <v>-285866</v>
      </c>
      <c r="AI51" s="470"/>
      <c r="AJ51" s="541">
        <v>-79884</v>
      </c>
      <c r="AK51" s="541">
        <v>-95972</v>
      </c>
      <c r="AL51" s="541">
        <v>-103766</v>
      </c>
      <c r="AM51" s="541">
        <v>-88504</v>
      </c>
      <c r="AN51" s="541">
        <v>-368126</v>
      </c>
      <c r="AO51" s="470"/>
      <c r="AP51" s="541">
        <v>-53972</v>
      </c>
      <c r="AQ51" s="541">
        <v>-42400</v>
      </c>
      <c r="AR51" s="541">
        <v>-32521</v>
      </c>
      <c r="AS51" s="541">
        <v>-6704</v>
      </c>
      <c r="AT51" s="541">
        <v>-135597</v>
      </c>
      <c r="AU51" s="86"/>
      <c r="AV51" s="85"/>
    </row>
    <row r="52" spans="1:48" s="206" customFormat="1" ht="15" customHeight="1" x14ac:dyDescent="0.2">
      <c r="A52" s="124" t="str">
        <f>IF(Contents!$A$1=2,"EBITDA of Refining, marketing and distribution segment","EBITDA сегмента «Переработка, торговля и сбыт»")</f>
        <v>EBITDA сегмента «Переработка, торговля и сбыт»</v>
      </c>
      <c r="B52" s="364" t="str">
        <f>IF(Contents!$A$1=2,"mln RUB","млн руб.")</f>
        <v>млн руб.</v>
      </c>
      <c r="C52" s="365"/>
      <c r="D52" s="524">
        <v>0</v>
      </c>
      <c r="E52" s="525"/>
      <c r="F52" s="524">
        <v>0</v>
      </c>
      <c r="G52" s="524">
        <v>0</v>
      </c>
      <c r="H52" s="524">
        <v>0</v>
      </c>
      <c r="I52" s="524">
        <v>0</v>
      </c>
      <c r="J52" s="524">
        <v>0</v>
      </c>
      <c r="K52" s="525"/>
      <c r="L52" s="524">
        <v>0</v>
      </c>
      <c r="M52" s="524">
        <v>0</v>
      </c>
      <c r="N52" s="524">
        <v>0</v>
      </c>
      <c r="O52" s="524">
        <v>0</v>
      </c>
      <c r="P52" s="524">
        <v>0</v>
      </c>
      <c r="Q52" s="525"/>
      <c r="R52" s="524">
        <v>0</v>
      </c>
      <c r="S52" s="524">
        <v>0</v>
      </c>
      <c r="T52" s="524">
        <v>0</v>
      </c>
      <c r="U52" s="524">
        <v>0</v>
      </c>
      <c r="V52" s="524">
        <v>0</v>
      </c>
      <c r="W52" s="524">
        <v>0</v>
      </c>
      <c r="X52" s="524">
        <v>0</v>
      </c>
      <c r="Y52" s="524">
        <v>0</v>
      </c>
      <c r="Z52" s="524">
        <v>0</v>
      </c>
      <c r="AA52" s="524">
        <v>0</v>
      </c>
      <c r="AB52" s="467">
        <v>282144</v>
      </c>
      <c r="AC52" s="525"/>
      <c r="AD52" s="467">
        <v>79938</v>
      </c>
      <c r="AE52" s="467">
        <v>93167</v>
      </c>
      <c r="AF52" s="467">
        <v>116380</v>
      </c>
      <c r="AG52" s="467">
        <v>82157</v>
      </c>
      <c r="AH52" s="467">
        <v>371642</v>
      </c>
      <c r="AI52" s="467"/>
      <c r="AJ52" s="467">
        <v>40291</v>
      </c>
      <c r="AK52" s="467">
        <v>78744</v>
      </c>
      <c r="AL52" s="467">
        <v>77638</v>
      </c>
      <c r="AM52" s="467">
        <v>46649</v>
      </c>
      <c r="AN52" s="467">
        <v>243322</v>
      </c>
      <c r="AO52" s="467"/>
      <c r="AP52" s="467">
        <v>120210</v>
      </c>
      <c r="AQ52" s="467">
        <v>126947</v>
      </c>
      <c r="AR52" s="467">
        <v>125757</v>
      </c>
      <c r="AS52" s="467">
        <v>114380</v>
      </c>
      <c r="AT52" s="467">
        <v>487294</v>
      </c>
      <c r="AU52" s="366"/>
      <c r="AV52" s="85"/>
    </row>
    <row r="53" spans="1:48" s="206" customFormat="1" ht="15" customHeight="1" x14ac:dyDescent="0.2">
      <c r="A53" s="124" t="str">
        <f>IF(Contents!$A$1=2,"EBITDA of Corporate and other segment","EBITDA сегмента «Корпоративный центр»")</f>
        <v>EBITDA сегмента «Корпоративный центр»</v>
      </c>
      <c r="B53" s="364" t="str">
        <f>IF(Contents!$A$1=2,"mln RUB","млн руб.")</f>
        <v>млн руб.</v>
      </c>
      <c r="C53" s="365"/>
      <c r="D53" s="524">
        <v>0</v>
      </c>
      <c r="E53" s="525"/>
      <c r="F53" s="524">
        <v>0</v>
      </c>
      <c r="G53" s="524">
        <v>0</v>
      </c>
      <c r="H53" s="524">
        <v>0</v>
      </c>
      <c r="I53" s="524">
        <v>0</v>
      </c>
      <c r="J53" s="524">
        <v>0</v>
      </c>
      <c r="K53" s="525"/>
      <c r="L53" s="524">
        <v>0</v>
      </c>
      <c r="M53" s="524">
        <v>0</v>
      </c>
      <c r="N53" s="524">
        <v>0</v>
      </c>
      <c r="O53" s="524">
        <v>0</v>
      </c>
      <c r="P53" s="524">
        <v>0</v>
      </c>
      <c r="Q53" s="525"/>
      <c r="R53" s="524">
        <v>0</v>
      </c>
      <c r="S53" s="524">
        <v>0</v>
      </c>
      <c r="T53" s="524">
        <v>0</v>
      </c>
      <c r="U53" s="524">
        <v>0</v>
      </c>
      <c r="V53" s="524">
        <v>0</v>
      </c>
      <c r="W53" s="524">
        <v>0</v>
      </c>
      <c r="X53" s="524">
        <v>0</v>
      </c>
      <c r="Y53" s="524">
        <v>0</v>
      </c>
      <c r="Z53" s="524">
        <v>0</v>
      </c>
      <c r="AA53" s="524">
        <v>0</v>
      </c>
      <c r="AB53" s="467">
        <v>-36154</v>
      </c>
      <c r="AC53" s="525"/>
      <c r="AD53" s="467">
        <v>-7068</v>
      </c>
      <c r="AE53" s="467">
        <v>-8671</v>
      </c>
      <c r="AF53" s="467">
        <v>-10544</v>
      </c>
      <c r="AG53" s="467">
        <v>-13679</v>
      </c>
      <c r="AH53" s="467">
        <v>-39962</v>
      </c>
      <c r="AI53" s="467"/>
      <c r="AJ53" s="467">
        <v>-10689</v>
      </c>
      <c r="AK53" s="467">
        <v>-5441</v>
      </c>
      <c r="AL53" s="467">
        <v>-12619</v>
      </c>
      <c r="AM53" s="467">
        <v>-10629</v>
      </c>
      <c r="AN53" s="467">
        <v>-39378</v>
      </c>
      <c r="AO53" s="467"/>
      <c r="AP53" s="467">
        <v>-11009</v>
      </c>
      <c r="AQ53" s="467">
        <v>-14323</v>
      </c>
      <c r="AR53" s="467">
        <v>-12709</v>
      </c>
      <c r="AS53" s="467">
        <v>-12167</v>
      </c>
      <c r="AT53" s="467">
        <v>-50208</v>
      </c>
      <c r="AU53" s="366"/>
      <c r="AV53" s="85"/>
    </row>
    <row r="54" spans="1:48" s="206" customFormat="1" ht="15" customHeight="1" x14ac:dyDescent="0.2">
      <c r="A54" s="361" t="str">
        <f>IF(Contents!$A$1=2,"Elimination","Элиминации")</f>
        <v>Элиминации</v>
      </c>
      <c r="B54" s="307" t="str">
        <f>IF(Contents!$A$1=2,"mln RUB","млн руб.")</f>
        <v>млн руб.</v>
      </c>
      <c r="C54" s="365"/>
      <c r="D54" s="545">
        <v>0</v>
      </c>
      <c r="E54" s="525"/>
      <c r="F54" s="545">
        <v>0</v>
      </c>
      <c r="G54" s="545">
        <v>0</v>
      </c>
      <c r="H54" s="545">
        <v>0</v>
      </c>
      <c r="I54" s="545">
        <v>0</v>
      </c>
      <c r="J54" s="545">
        <v>0</v>
      </c>
      <c r="K54" s="525"/>
      <c r="L54" s="545">
        <v>0</v>
      </c>
      <c r="M54" s="545">
        <v>0</v>
      </c>
      <c r="N54" s="545">
        <v>0</v>
      </c>
      <c r="O54" s="545">
        <v>0</v>
      </c>
      <c r="P54" s="545">
        <v>0</v>
      </c>
      <c r="Q54" s="525"/>
      <c r="R54" s="545">
        <v>0</v>
      </c>
      <c r="S54" s="545">
        <v>0</v>
      </c>
      <c r="T54" s="545">
        <v>0</v>
      </c>
      <c r="U54" s="545">
        <v>0</v>
      </c>
      <c r="V54" s="545">
        <v>0</v>
      </c>
      <c r="W54" s="545">
        <v>0</v>
      </c>
      <c r="X54" s="545">
        <v>0</v>
      </c>
      <c r="Y54" s="545">
        <v>0</v>
      </c>
      <c r="Z54" s="545">
        <v>0</v>
      </c>
      <c r="AA54" s="545">
        <v>0</v>
      </c>
      <c r="AB54" s="490">
        <v>-1477</v>
      </c>
      <c r="AC54" s="525"/>
      <c r="AD54" s="490">
        <v>-9945</v>
      </c>
      <c r="AE54" s="490">
        <v>12600</v>
      </c>
      <c r="AF54" s="490">
        <v>10011</v>
      </c>
      <c r="AG54" s="490">
        <v>-2104</v>
      </c>
      <c r="AH54" s="490">
        <v>10562</v>
      </c>
      <c r="AI54" s="467"/>
      <c r="AJ54" s="490">
        <v>12052</v>
      </c>
      <c r="AK54" s="490">
        <v>-1233</v>
      </c>
      <c r="AL54" s="490">
        <v>-14775</v>
      </c>
      <c r="AM54" s="490">
        <v>-12975</v>
      </c>
      <c r="AN54" s="490">
        <v>-16931</v>
      </c>
      <c r="AO54" s="467"/>
      <c r="AP54" s="490">
        <v>-18614</v>
      </c>
      <c r="AQ54" s="490">
        <v>6314</v>
      </c>
      <c r="AR54" s="490">
        <v>-2908</v>
      </c>
      <c r="AS54" s="490">
        <v>-3722</v>
      </c>
      <c r="AT54" s="490">
        <v>-18930</v>
      </c>
      <c r="AU54" s="366"/>
      <c r="AV54" s="85"/>
    </row>
    <row r="55" spans="1:48" s="206" customFormat="1" ht="15" customHeight="1" x14ac:dyDescent="0.2">
      <c r="A55" s="207" t="str">
        <f>IF(Contents!$A$1=2,"EBITDA","EBITDA")</f>
        <v>EBITDA</v>
      </c>
      <c r="B55" s="315" t="str">
        <f>IF(Contents!$A$1=2,"mln RUB","млн руб.")</f>
        <v>млн руб.</v>
      </c>
      <c r="C55" s="112"/>
      <c r="D55" s="462">
        <v>0</v>
      </c>
      <c r="E55" s="467"/>
      <c r="F55" s="462">
        <v>0</v>
      </c>
      <c r="G55" s="462">
        <v>0</v>
      </c>
      <c r="H55" s="462">
        <v>0</v>
      </c>
      <c r="I55" s="462">
        <v>0</v>
      </c>
      <c r="J55" s="462">
        <v>0</v>
      </c>
      <c r="K55" s="467"/>
      <c r="L55" s="462">
        <v>0</v>
      </c>
      <c r="M55" s="462">
        <v>0</v>
      </c>
      <c r="N55" s="462">
        <v>0</v>
      </c>
      <c r="O55" s="462">
        <v>0</v>
      </c>
      <c r="P55" s="462">
        <v>0</v>
      </c>
      <c r="Q55" s="426"/>
      <c r="R55" s="462">
        <v>0</v>
      </c>
      <c r="S55" s="462">
        <v>0</v>
      </c>
      <c r="T55" s="462">
        <v>0</v>
      </c>
      <c r="U55" s="462">
        <v>0</v>
      </c>
      <c r="V55" s="462">
        <v>0</v>
      </c>
      <c r="W55" s="462">
        <v>0</v>
      </c>
      <c r="X55" s="462">
        <v>0</v>
      </c>
      <c r="Y55" s="462">
        <v>0</v>
      </c>
      <c r="Z55" s="462">
        <v>0</v>
      </c>
      <c r="AA55" s="462">
        <v>0</v>
      </c>
      <c r="AB55" s="462">
        <v>1114800</v>
      </c>
      <c r="AC55" s="426"/>
      <c r="AD55" s="462">
        <v>298057</v>
      </c>
      <c r="AE55" s="462">
        <v>332170</v>
      </c>
      <c r="AF55" s="462">
        <v>327805</v>
      </c>
      <c r="AG55" s="462">
        <v>278160</v>
      </c>
      <c r="AH55" s="462">
        <v>1236192</v>
      </c>
      <c r="AI55" s="426"/>
      <c r="AJ55" s="462">
        <v>150843</v>
      </c>
      <c r="AK55" s="462">
        <v>144416</v>
      </c>
      <c r="AL55" s="462">
        <v>202223</v>
      </c>
      <c r="AM55" s="462">
        <v>189612</v>
      </c>
      <c r="AN55" s="462">
        <v>687094</v>
      </c>
      <c r="AO55" s="426"/>
      <c r="AP55" s="462">
        <v>314380</v>
      </c>
      <c r="AQ55" s="462">
        <v>339842</v>
      </c>
      <c r="AR55" s="462">
        <v>355176</v>
      </c>
      <c r="AS55" s="462">
        <v>395013</v>
      </c>
      <c r="AT55" s="462">
        <v>1404411</v>
      </c>
      <c r="AU55" s="366"/>
      <c r="AV55" s="85"/>
    </row>
    <row r="56" spans="1:48" s="206" customFormat="1" ht="15" customHeight="1" x14ac:dyDescent="0.2">
      <c r="A56" s="359"/>
      <c r="B56" s="271"/>
      <c r="C56" s="123"/>
      <c r="D56" s="88"/>
      <c r="E56" s="86"/>
      <c r="F56" s="88"/>
      <c r="G56" s="88"/>
      <c r="H56" s="189"/>
      <c r="I56" s="189"/>
      <c r="J56" s="88"/>
      <c r="K56" s="86"/>
      <c r="L56" s="88"/>
      <c r="M56" s="88"/>
      <c r="N56" s="88"/>
      <c r="O56" s="86"/>
      <c r="P56" s="88"/>
      <c r="Q56" s="86"/>
      <c r="R56" s="88"/>
      <c r="S56" s="88"/>
      <c r="T56" s="88"/>
      <c r="U56" s="88"/>
      <c r="V56" s="88"/>
      <c r="W56" s="86"/>
      <c r="X56" s="88"/>
      <c r="Y56" s="88"/>
      <c r="Z56" s="88"/>
      <c r="AA56" s="88"/>
      <c r="AB56" s="88"/>
      <c r="AC56" s="86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6"/>
      <c r="AP56" s="88"/>
      <c r="AQ56" s="88"/>
      <c r="AR56" s="88"/>
      <c r="AS56" s="88"/>
      <c r="AT56" s="86"/>
      <c r="AU56" s="86"/>
      <c r="AV56" s="85"/>
    </row>
    <row r="57" spans="1:48" ht="15" customHeight="1" x14ac:dyDescent="0.2">
      <c r="A57" s="51" t="str">
        <f>IF(Contents!$A$1=2,"Contents","Содержание")</f>
        <v>Содержание</v>
      </c>
      <c r="B57" s="51"/>
    </row>
  </sheetData>
  <conditionalFormatting sqref="A1:C1 W6:W14 A60:W1048576 A31:AC31 A56:AS56 R16:AU18 B15:E15 A5:Q5 Q6:Q15 A6:E14 A16:Q19 AC20:AC21 W20:W30 A20:C30 Q20:Q30 K20:K30 AC30 A57:AB59 AD57:AS59 A2:AU4 AT56:AU1048576 AU20:AU55 K6:K15 A32:E54 K32:K54 Q32:Q54 AC32:AC54 AC57:AC1048576 AV2:XFD1048576">
    <cfRule type="containsText" dxfId="442" priority="325" operator="containsText" text="ложь">
      <formula>NOT(ISERROR(SEARCH("ложь",A1)))</formula>
    </cfRule>
  </conditionalFormatting>
  <conditionalFormatting sqref="AV1:XFD1">
    <cfRule type="containsText" dxfId="441" priority="322" operator="containsText" text="ложь">
      <formula>NOT(ISERROR(SEARCH("ложь",AV1)))</formula>
    </cfRule>
  </conditionalFormatting>
  <conditionalFormatting sqref="D1:Q1">
    <cfRule type="containsText" dxfId="440" priority="321" operator="containsText" text="ложь">
      <formula>NOT(ISERROR(SEARCH("ложь",D1)))</formula>
    </cfRule>
  </conditionalFormatting>
  <conditionalFormatting sqref="D1:Q1">
    <cfRule type="containsText" dxfId="439" priority="320" operator="containsText" text="ложь">
      <formula>NOT(ISERROR(SEARCH("ложь",D1)))</formula>
    </cfRule>
  </conditionalFormatting>
  <conditionalFormatting sqref="D1:Q1">
    <cfRule type="containsText" dxfId="438" priority="319" operator="containsText" text="ложь">
      <formula>NOT(ISERROR(SEARCH("ложь",D1)))</formula>
    </cfRule>
  </conditionalFormatting>
  <conditionalFormatting sqref="D1:Q1">
    <cfRule type="containsText" dxfId="437" priority="318" operator="containsText" text="ложь">
      <formula>NOT(ISERROR(SEARCH("ложь",D1)))</formula>
    </cfRule>
  </conditionalFormatting>
  <conditionalFormatting sqref="R5:W5">
    <cfRule type="containsText" dxfId="436" priority="317" operator="containsText" text="ложь">
      <formula>NOT(ISERROR(SEARCH("ложь",R5)))</formula>
    </cfRule>
  </conditionalFormatting>
  <conditionalFormatting sqref="R1:W1">
    <cfRule type="containsText" dxfId="435" priority="316" operator="containsText" text="ложь">
      <formula>NOT(ISERROR(SEARCH("ложь",R1)))</formula>
    </cfRule>
  </conditionalFormatting>
  <conditionalFormatting sqref="R1:W1">
    <cfRule type="containsText" dxfId="434" priority="315" operator="containsText" text="ложь">
      <formula>NOT(ISERROR(SEARCH("ложь",R1)))</formula>
    </cfRule>
  </conditionalFormatting>
  <conditionalFormatting sqref="R1:W1">
    <cfRule type="containsText" dxfId="433" priority="314" operator="containsText" text="ложь">
      <formula>NOT(ISERROR(SEARCH("ложь",R1)))</formula>
    </cfRule>
  </conditionalFormatting>
  <conditionalFormatting sqref="R19:W19">
    <cfRule type="containsText" dxfId="432" priority="312" operator="containsText" text="ложь">
      <formula>NOT(ISERROR(SEARCH("ложь",R19)))</formula>
    </cfRule>
  </conditionalFormatting>
  <conditionalFormatting sqref="W15">
    <cfRule type="containsText" dxfId="431" priority="311" operator="containsText" text="ложь">
      <formula>NOT(ISERROR(SEARCH("ложь",W15)))</formula>
    </cfRule>
  </conditionalFormatting>
  <conditionalFormatting sqref="X60:AB1048576">
    <cfRule type="containsText" dxfId="430" priority="302" operator="containsText" text="ложь">
      <formula>NOT(ISERROR(SEARCH("ложь",X60)))</formula>
    </cfRule>
  </conditionalFormatting>
  <conditionalFormatting sqref="X5:AB5 AU5">
    <cfRule type="containsText" dxfId="429" priority="301" operator="containsText" text="ложь">
      <formula>NOT(ISERROR(SEARCH("ложь",X5)))</formula>
    </cfRule>
  </conditionalFormatting>
  <conditionalFormatting sqref="X1:AB1 AU1">
    <cfRule type="containsText" dxfId="428" priority="300" operator="containsText" text="ложь">
      <formula>NOT(ISERROR(SEARCH("ложь",X1)))</formula>
    </cfRule>
  </conditionalFormatting>
  <conditionalFormatting sqref="X1:AB1 AU1">
    <cfRule type="containsText" dxfId="427" priority="299" operator="containsText" text="ложь">
      <formula>NOT(ISERROR(SEARCH("ложь",X1)))</formula>
    </cfRule>
  </conditionalFormatting>
  <conditionalFormatting sqref="X1:AB1 AU1">
    <cfRule type="containsText" dxfId="426" priority="298" operator="containsText" text="ложь">
      <formula>NOT(ISERROR(SEARCH("ложь",X1)))</formula>
    </cfRule>
  </conditionalFormatting>
  <conditionalFormatting sqref="X6:X8 X10:X14">
    <cfRule type="containsText" dxfId="425" priority="297" operator="containsText" text="ложь">
      <formula>NOT(ISERROR(SEARCH("ложь",X6)))</formula>
    </cfRule>
  </conditionalFormatting>
  <conditionalFormatting sqref="X19:AB19 AU19">
    <cfRule type="containsText" dxfId="424" priority="296" operator="containsText" text="ложь">
      <formula>NOT(ISERROR(SEARCH("ложь",X19)))</formula>
    </cfRule>
  </conditionalFormatting>
  <conditionalFormatting sqref="X15">
    <cfRule type="containsText" dxfId="423" priority="295" operator="containsText" text="ложь">
      <formula>NOT(ISERROR(SEARCH("ложь",X15)))</formula>
    </cfRule>
  </conditionalFormatting>
  <conditionalFormatting sqref="Y6:Y8 Y10:Y14">
    <cfRule type="containsText" dxfId="422" priority="293" operator="containsText" text="ложь">
      <formula>NOT(ISERROR(SEARCH("ложь",Y6)))</formula>
    </cfRule>
  </conditionalFormatting>
  <conditionalFormatting sqref="Y15">
    <cfRule type="containsText" dxfId="421" priority="292" operator="containsText" text="ложь">
      <formula>NOT(ISERROR(SEARCH("ложь",Y15)))</formula>
    </cfRule>
  </conditionalFormatting>
  <conditionalFormatting sqref="Z6:AB8 Z10:AB14 AB9 AU6:AU14">
    <cfRule type="containsText" dxfId="420" priority="290" operator="containsText" text="ложь">
      <formula>NOT(ISERROR(SEARCH("ложь",Z6)))</formula>
    </cfRule>
  </conditionalFormatting>
  <conditionalFormatting sqref="Z15:AB15 AU15">
    <cfRule type="containsText" dxfId="419" priority="289" operator="containsText" text="ложь">
      <formula>NOT(ISERROR(SEARCH("ложь",Z15)))</formula>
    </cfRule>
  </conditionalFormatting>
  <conditionalFormatting sqref="AC5">
    <cfRule type="containsText" dxfId="418" priority="242" operator="containsText" text="ложь">
      <formula>NOT(ISERROR(SEARCH("ложь",AC5)))</formula>
    </cfRule>
  </conditionalFormatting>
  <conditionalFormatting sqref="AC1">
    <cfRule type="containsText" dxfId="417" priority="241" operator="containsText" text="ложь">
      <formula>NOT(ISERROR(SEARCH("ложь",AC1)))</formula>
    </cfRule>
  </conditionalFormatting>
  <conditionalFormatting sqref="AC1">
    <cfRule type="containsText" dxfId="416" priority="240" operator="containsText" text="ложь">
      <formula>NOT(ISERROR(SEARCH("ложь",AC1)))</formula>
    </cfRule>
  </conditionalFormatting>
  <conditionalFormatting sqref="AC6:AC14">
    <cfRule type="containsText" dxfId="415" priority="243" operator="containsText" text="ложь">
      <formula>NOT(ISERROR(SEARCH("ложь",AC6)))</formula>
    </cfRule>
  </conditionalFormatting>
  <conditionalFormatting sqref="AC1">
    <cfRule type="containsText" dxfId="414" priority="239" operator="containsText" text="ложь">
      <formula>NOT(ISERROR(SEARCH("ложь",AC1)))</formula>
    </cfRule>
  </conditionalFormatting>
  <conditionalFormatting sqref="AC19">
    <cfRule type="containsText" dxfId="413" priority="237" operator="containsText" text="ложь">
      <formula>NOT(ISERROR(SEARCH("ложь",AC19)))</formula>
    </cfRule>
  </conditionalFormatting>
  <conditionalFormatting sqref="AC15">
    <cfRule type="containsText" dxfId="412" priority="236" operator="containsText" text="ложь">
      <formula>NOT(ISERROR(SEARCH("ложь",AC15)))</formula>
    </cfRule>
  </conditionalFormatting>
  <conditionalFormatting sqref="AD60:AS1048576">
    <cfRule type="containsText" dxfId="411" priority="235" operator="containsText" text="ложь">
      <formula>NOT(ISERROR(SEARCH("ложь",AD60)))</formula>
    </cfRule>
  </conditionalFormatting>
  <conditionalFormatting sqref="AD5:AO5">
    <cfRule type="containsText" dxfId="410" priority="234" operator="containsText" text="ложь">
      <formula>NOT(ISERROR(SEARCH("ложь",AD5)))</formula>
    </cfRule>
  </conditionalFormatting>
  <conditionalFormatting sqref="AD1:AO1">
    <cfRule type="containsText" dxfId="409" priority="233" operator="containsText" text="ложь">
      <formula>NOT(ISERROR(SEARCH("ложь",AD1)))</formula>
    </cfRule>
  </conditionalFormatting>
  <conditionalFormatting sqref="AD1:AO1">
    <cfRule type="containsText" dxfId="408" priority="232" operator="containsText" text="ложь">
      <formula>NOT(ISERROR(SEARCH("ложь",AD1)))</formula>
    </cfRule>
  </conditionalFormatting>
  <conditionalFormatting sqref="AD1:AO1">
    <cfRule type="containsText" dxfId="407" priority="231" operator="containsText" text="ложь">
      <formula>NOT(ISERROR(SEARCH("ложь",AD1)))</formula>
    </cfRule>
  </conditionalFormatting>
  <conditionalFormatting sqref="AD19:AI19">
    <cfRule type="containsText" dxfId="406" priority="230" operator="containsText" text="ложь">
      <formula>NOT(ISERROR(SEARCH("ложь",AD19)))</formula>
    </cfRule>
  </conditionalFormatting>
  <conditionalFormatting sqref="AD6:AI14">
    <cfRule type="containsText" dxfId="405" priority="229" operator="containsText" text="ложь">
      <formula>NOT(ISERROR(SEARCH("ложь",AD6)))</formula>
    </cfRule>
  </conditionalFormatting>
  <conditionalFormatting sqref="AD15:AI15">
    <cfRule type="containsText" dxfId="404" priority="228" operator="containsText" text="ложь">
      <formula>NOT(ISERROR(SEARCH("ложь",AD15)))</formula>
    </cfRule>
  </conditionalFormatting>
  <conditionalFormatting sqref="AJ19:AO19">
    <cfRule type="containsText" dxfId="403" priority="195" operator="containsText" text="ложь">
      <formula>NOT(ISERROR(SEARCH("ложь",AJ19)))</formula>
    </cfRule>
  </conditionalFormatting>
  <conditionalFormatting sqref="AJ6:AJ14">
    <cfRule type="containsText" dxfId="402" priority="194" operator="containsText" text="ложь">
      <formula>NOT(ISERROR(SEARCH("ложь",AJ6)))</formula>
    </cfRule>
  </conditionalFormatting>
  <conditionalFormatting sqref="AJ15">
    <cfRule type="containsText" dxfId="401" priority="193" operator="containsText" text="ложь">
      <formula>NOT(ISERROR(SEARCH("ложь",AJ15)))</formula>
    </cfRule>
  </conditionalFormatting>
  <conditionalFormatting sqref="AD20:AJ21 AD30:AJ30 AD34:AJ54 AD31:AO31 AI32:AI33 AO32:AO33">
    <cfRule type="containsText" dxfId="400" priority="187" operator="containsText" text="ложь">
      <formula>NOT(ISERROR(SEARCH("ложь",AD20)))</formula>
    </cfRule>
  </conditionalFormatting>
  <conditionalFormatting sqref="A55:E55 Q55 K55">
    <cfRule type="containsText" dxfId="399" priority="183" operator="containsText" text="ложь">
      <formula>NOT(ISERROR(SEARCH("ложь",A55)))</formula>
    </cfRule>
  </conditionalFormatting>
  <conditionalFormatting sqref="AC55">
    <cfRule type="containsText" dxfId="398" priority="178" operator="containsText" text="ложь">
      <formula>NOT(ISERROR(SEARCH("ложь",AC55)))</formula>
    </cfRule>
  </conditionalFormatting>
  <conditionalFormatting sqref="AD55:AI55">
    <cfRule type="containsText" dxfId="397" priority="177" operator="containsText" text="ложь">
      <formula>NOT(ISERROR(SEARCH("ложь",AD55)))</formula>
    </cfRule>
  </conditionalFormatting>
  <conditionalFormatting sqref="AJ55">
    <cfRule type="containsText" dxfId="396" priority="176" operator="containsText" text="ложь">
      <formula>NOT(ISERROR(SEARCH("ложь",AJ55)))</formula>
    </cfRule>
  </conditionalFormatting>
  <conditionalFormatting sqref="A15">
    <cfRule type="containsText" dxfId="395" priority="175" operator="containsText" text="ложь">
      <formula>NOT(ISERROR(SEARCH("ложь",A15)))</formula>
    </cfRule>
  </conditionalFormatting>
  <conditionalFormatting sqref="X9:AA9">
    <cfRule type="containsText" dxfId="394" priority="174" operator="containsText" text="ложь">
      <formula>NOT(ISERROR(SEARCH("ложь",X9)))</formula>
    </cfRule>
  </conditionalFormatting>
  <conditionalFormatting sqref="R6:R7 R10:R14">
    <cfRule type="containsText" dxfId="393" priority="173" operator="containsText" text="ложь">
      <formula>NOT(ISERROR(SEARCH("ложь",R6)))</formula>
    </cfRule>
  </conditionalFormatting>
  <conditionalFormatting sqref="S6:S7 S10:S14">
    <cfRule type="containsText" dxfId="392" priority="172" operator="containsText" text="ложь">
      <formula>NOT(ISERROR(SEARCH("ложь",S6)))</formula>
    </cfRule>
  </conditionalFormatting>
  <conditionalFormatting sqref="T6:V7 T10:V14 V8:V9">
    <cfRule type="containsText" dxfId="391" priority="171" operator="containsText" text="ложь">
      <formula>NOT(ISERROR(SEARCH("ложь",T6)))</formula>
    </cfRule>
  </conditionalFormatting>
  <conditionalFormatting sqref="R15">
    <cfRule type="containsText" dxfId="390" priority="169" operator="containsText" text="ложь">
      <formula>NOT(ISERROR(SEARCH("ложь",R15)))</formula>
    </cfRule>
  </conditionalFormatting>
  <conditionalFormatting sqref="S15">
    <cfRule type="containsText" dxfId="389" priority="168" operator="containsText" text="ложь">
      <formula>NOT(ISERROR(SEARCH("ложь",S15)))</formula>
    </cfRule>
  </conditionalFormatting>
  <conditionalFormatting sqref="T15:V15">
    <cfRule type="containsText" dxfId="388" priority="167" operator="containsText" text="ложь">
      <formula>NOT(ISERROR(SEARCH("ложь",T15)))</formula>
    </cfRule>
  </conditionalFormatting>
  <conditionalFormatting sqref="L6:L7 L10:L14">
    <cfRule type="containsText" dxfId="387" priority="166" operator="containsText" text="ложь">
      <formula>NOT(ISERROR(SEARCH("ложь",L6)))</formula>
    </cfRule>
  </conditionalFormatting>
  <conditionalFormatting sqref="M6:M7 M10:M14">
    <cfRule type="containsText" dxfId="386" priority="165" operator="containsText" text="ложь">
      <formula>NOT(ISERROR(SEARCH("ложь",M6)))</formula>
    </cfRule>
  </conditionalFormatting>
  <conditionalFormatting sqref="N6:P7 N10:P14">
    <cfRule type="containsText" dxfId="385" priority="164" operator="containsText" text="ложь">
      <formula>NOT(ISERROR(SEARCH("ложь",N6)))</formula>
    </cfRule>
  </conditionalFormatting>
  <conditionalFormatting sqref="L15">
    <cfRule type="containsText" dxfId="384" priority="158" operator="containsText" text="ложь">
      <formula>NOT(ISERROR(SEARCH("ложь",L15)))</formula>
    </cfRule>
  </conditionalFormatting>
  <conditionalFormatting sqref="M15">
    <cfRule type="containsText" dxfId="383" priority="157" operator="containsText" text="ложь">
      <formula>NOT(ISERROR(SEARCH("ложь",M15)))</formula>
    </cfRule>
  </conditionalFormatting>
  <conditionalFormatting sqref="N15:P15">
    <cfRule type="containsText" dxfId="382" priority="156" operator="containsText" text="ложь">
      <formula>NOT(ISERROR(SEARCH("ложь",N15)))</formula>
    </cfRule>
  </conditionalFormatting>
  <conditionalFormatting sqref="AB20:AB21 AB30">
    <cfRule type="containsText" dxfId="381" priority="148" operator="containsText" text="ложь">
      <formula>NOT(ISERROR(SEARCH("ложь",AB20)))</formula>
    </cfRule>
  </conditionalFormatting>
  <conditionalFormatting sqref="AA20:AA21 AA30">
    <cfRule type="containsText" dxfId="380" priority="147" operator="containsText" text="ложь">
      <formula>NOT(ISERROR(SEARCH("ложь",AA20)))</formula>
    </cfRule>
  </conditionalFormatting>
  <conditionalFormatting sqref="Z20:Z21 Z30">
    <cfRule type="containsText" dxfId="379" priority="146" operator="containsText" text="ложь">
      <formula>NOT(ISERROR(SEARCH("ложь",Z20)))</formula>
    </cfRule>
  </conditionalFormatting>
  <conditionalFormatting sqref="Y20:Y21 Y30">
    <cfRule type="containsText" dxfId="378" priority="145" operator="containsText" text="ложь">
      <formula>NOT(ISERROR(SEARCH("ложь",Y20)))</formula>
    </cfRule>
  </conditionalFormatting>
  <conditionalFormatting sqref="X20:X21 X30">
    <cfRule type="containsText" dxfId="377" priority="144" operator="containsText" text="ложь">
      <formula>NOT(ISERROR(SEARCH("ложь",X20)))</formula>
    </cfRule>
  </conditionalFormatting>
  <conditionalFormatting sqref="E20:E30">
    <cfRule type="containsText" dxfId="376" priority="132" operator="containsText" text="ложь">
      <formula>NOT(ISERROR(SEARCH("ложь",E20)))</formula>
    </cfRule>
  </conditionalFormatting>
  <conditionalFormatting sqref="AB34:AB54">
    <cfRule type="containsText" dxfId="375" priority="126" operator="containsText" text="ложь">
      <formula>NOT(ISERROR(SEARCH("ложь",AB34)))</formula>
    </cfRule>
  </conditionalFormatting>
  <conditionalFormatting sqref="AB55">
    <cfRule type="containsText" dxfId="374" priority="125" operator="containsText" text="ложь">
      <formula>NOT(ISERROR(SEARCH("ложь",AB55)))</formula>
    </cfRule>
  </conditionalFormatting>
  <conditionalFormatting sqref="X22:AJ29">
    <cfRule type="containsText" dxfId="373" priority="94" operator="containsText" text="ложь">
      <formula>NOT(ISERROR(SEARCH("ложь",X22)))</formula>
    </cfRule>
  </conditionalFormatting>
  <conditionalFormatting sqref="R20:V21 R30:V30">
    <cfRule type="containsText" dxfId="372" priority="93" operator="containsText" text="ложь">
      <formula>NOT(ISERROR(SEARCH("ложь",R20)))</formula>
    </cfRule>
  </conditionalFormatting>
  <conditionalFormatting sqref="R22:V29">
    <cfRule type="containsText" dxfId="371" priority="92" operator="containsText" text="ложь">
      <formula>NOT(ISERROR(SEARCH("ложь",R22)))</formula>
    </cfRule>
  </conditionalFormatting>
  <conditionalFormatting sqref="L20:P21 L30:P30">
    <cfRule type="containsText" dxfId="370" priority="91" operator="containsText" text="ложь">
      <formula>NOT(ISERROR(SEARCH("ложь",L20)))</formula>
    </cfRule>
  </conditionalFormatting>
  <conditionalFormatting sqref="L22:P29">
    <cfRule type="containsText" dxfId="369" priority="90" operator="containsText" text="ложь">
      <formula>NOT(ISERROR(SEARCH("ложь",L22)))</formula>
    </cfRule>
  </conditionalFormatting>
  <conditionalFormatting sqref="F20:J21 F30:J30">
    <cfRule type="containsText" dxfId="368" priority="89" operator="containsText" text="ложь">
      <formula>NOT(ISERROR(SEARCH("ложь",F20)))</formula>
    </cfRule>
  </conditionalFormatting>
  <conditionalFormatting sqref="F22:J29">
    <cfRule type="containsText" dxfId="367" priority="88" operator="containsText" text="ложь">
      <formula>NOT(ISERROR(SEARCH("ложь",F22)))</formula>
    </cfRule>
  </conditionalFormatting>
  <conditionalFormatting sqref="D20:D21 D30">
    <cfRule type="containsText" dxfId="366" priority="87" operator="containsText" text="ложь">
      <formula>NOT(ISERROR(SEARCH("ложь",D20)))</formula>
    </cfRule>
  </conditionalFormatting>
  <conditionalFormatting sqref="D22:D29">
    <cfRule type="containsText" dxfId="365" priority="86" operator="containsText" text="ложь">
      <formula>NOT(ISERROR(SEARCH("ложь",D22)))</formula>
    </cfRule>
  </conditionalFormatting>
  <conditionalFormatting sqref="AK6:AO14">
    <cfRule type="containsText" dxfId="364" priority="85" operator="containsText" text="ложь">
      <formula>NOT(ISERROR(SEARCH("ложь",AK6)))</formula>
    </cfRule>
  </conditionalFormatting>
  <conditionalFormatting sqref="AK15:AO15">
    <cfRule type="containsText" dxfId="363" priority="84" operator="containsText" text="ложь">
      <formula>NOT(ISERROR(SEARCH("ложь",AK15)))</formula>
    </cfRule>
  </conditionalFormatting>
  <conditionalFormatting sqref="AK20:AO21 AK30:AO30">
    <cfRule type="containsText" dxfId="362" priority="83" operator="containsText" text="ложь">
      <formula>NOT(ISERROR(SEARCH("ложь",AK20)))</formula>
    </cfRule>
  </conditionalFormatting>
  <conditionalFormatting sqref="AK22:AO29">
    <cfRule type="containsText" dxfId="361" priority="82" operator="containsText" text="ложь">
      <formula>NOT(ISERROR(SEARCH("ложь",AK22)))</formula>
    </cfRule>
  </conditionalFormatting>
  <conditionalFormatting sqref="AK34:AO54">
    <cfRule type="containsText" dxfId="360" priority="81" operator="containsText" text="ложь">
      <formula>NOT(ISERROR(SEARCH("ложь",AK34)))</formula>
    </cfRule>
  </conditionalFormatting>
  <conditionalFormatting sqref="AK55:AO55">
    <cfRule type="containsText" dxfId="359" priority="80" operator="containsText" text="ложь">
      <formula>NOT(ISERROR(SEARCH("ложь",AK55)))</formula>
    </cfRule>
  </conditionalFormatting>
  <conditionalFormatting sqref="AP1:AT1">
    <cfRule type="containsText" dxfId="358" priority="61" operator="containsText" text="ложь">
      <formula>NOT(ISERROR(SEARCH("ложь",AP1)))</formula>
    </cfRule>
  </conditionalFormatting>
  <conditionalFormatting sqref="AP6:AQ14">
    <cfRule type="containsText" dxfId="357" priority="50" operator="containsText" text="ложь">
      <formula>NOT(ISERROR(SEARCH("ложь",AP6)))</formula>
    </cfRule>
  </conditionalFormatting>
  <conditionalFormatting sqref="AP15:AQ15">
    <cfRule type="containsText" dxfId="356" priority="49" operator="containsText" text="ложь">
      <formula>NOT(ISERROR(SEARCH("ложь",AP15)))</formula>
    </cfRule>
  </conditionalFormatting>
  <conditionalFormatting sqref="AR22:AT29">
    <cfRule type="containsText" dxfId="355" priority="33" operator="containsText" text="ложь">
      <formula>NOT(ISERROR(SEARCH("ложь",AR22)))</formula>
    </cfRule>
  </conditionalFormatting>
  <conditionalFormatting sqref="AT20">
    <cfRule type="containsText" dxfId="354" priority="32" operator="containsText" text="ложь">
      <formula>NOT(ISERROR(SEARCH("ложь",AT20)))</formula>
    </cfRule>
  </conditionalFormatting>
  <conditionalFormatting sqref="AS31:AT31 AP20:AQ21 AP30:AQ31 AP34:AQ54">
    <cfRule type="containsText" dxfId="353" priority="46" operator="containsText" text="ложь">
      <formula>NOT(ISERROR(SEARCH("ложь",AP20)))</formula>
    </cfRule>
  </conditionalFormatting>
  <conditionalFormatting sqref="AP55:AQ55">
    <cfRule type="containsText" dxfId="352" priority="45" operator="containsText" text="ложь">
      <formula>NOT(ISERROR(SEARCH("ложь",AP55)))</formula>
    </cfRule>
  </conditionalFormatting>
  <conditionalFormatting sqref="AP22:AQ29">
    <cfRule type="containsText" dxfId="351" priority="44" operator="containsText" text="ложь">
      <formula>NOT(ISERROR(SEARCH("ложь",AP22)))</formula>
    </cfRule>
  </conditionalFormatting>
  <conditionalFormatting sqref="AS43:AT44">
    <cfRule type="containsText" dxfId="350" priority="41" operator="containsText" text="ложь">
      <formula>NOT(ISERROR(SEARCH("ложь",AS43)))</formula>
    </cfRule>
  </conditionalFormatting>
  <conditionalFormatting sqref="AP5:AT5">
    <cfRule type="containsText" dxfId="349" priority="39" operator="containsText" text="ложь">
      <formula>NOT(ISERROR(SEARCH("ложь",AP5)))</formula>
    </cfRule>
  </conditionalFormatting>
  <conditionalFormatting sqref="AP19:AT19">
    <cfRule type="containsText" dxfId="348" priority="38" operator="containsText" text="ложь">
      <formula>NOT(ISERROR(SEARCH("ложь",AP19)))</formula>
    </cfRule>
  </conditionalFormatting>
  <conditionalFormatting sqref="AR6:AT14">
    <cfRule type="containsText" dxfId="347" priority="37" operator="containsText" text="ложь">
      <formula>NOT(ISERROR(SEARCH("ложь",AR6)))</formula>
    </cfRule>
  </conditionalFormatting>
  <conditionalFormatting sqref="AR15:AT15">
    <cfRule type="containsText" dxfId="346" priority="36" operator="containsText" text="ложь">
      <formula>NOT(ISERROR(SEARCH("ложь",AR15)))</formula>
    </cfRule>
  </conditionalFormatting>
  <conditionalFormatting sqref="AR30:AR31 AR21:AT21 AS34:AT42 AS46:AT54 AR20 AS30:AT30 AS45 AR34:AR54">
    <cfRule type="containsText" dxfId="345" priority="35" operator="containsText" text="ложь">
      <formula>NOT(ISERROR(SEARCH("ложь",AR20)))</formula>
    </cfRule>
  </conditionalFormatting>
  <conditionalFormatting sqref="AR55:AT55">
    <cfRule type="containsText" dxfId="344" priority="34" operator="containsText" text="ложь">
      <formula>NOT(ISERROR(SEARCH("ложь",AR55)))</formula>
    </cfRule>
  </conditionalFormatting>
  <conditionalFormatting sqref="AS20">
    <cfRule type="containsText" dxfId="343" priority="31" operator="containsText" text="ложь">
      <formula>NOT(ISERROR(SEARCH("ложь",AS20)))</formula>
    </cfRule>
  </conditionalFormatting>
  <conditionalFormatting sqref="AT45">
    <cfRule type="containsText" dxfId="342" priority="30" operator="containsText" text="ложь">
      <formula>NOT(ISERROR(SEARCH("ложь",AT45)))</formula>
    </cfRule>
  </conditionalFormatting>
  <conditionalFormatting sqref="F6:J15">
    <cfRule type="containsText" dxfId="341" priority="17" operator="containsText" text="ложь">
      <formula>NOT(ISERROR(SEARCH("ложь",F6)))</formula>
    </cfRule>
  </conditionalFormatting>
  <conditionalFormatting sqref="L8:P9">
    <cfRule type="containsText" dxfId="340" priority="16" operator="containsText" text="ложь">
      <formula>NOT(ISERROR(SEARCH("ложь",L8)))</formula>
    </cfRule>
  </conditionalFormatting>
  <conditionalFormatting sqref="R8:U9">
    <cfRule type="containsText" dxfId="339" priority="15" operator="containsText" text="ложь">
      <formula>NOT(ISERROR(SEARCH("ложь",R8)))</formula>
    </cfRule>
  </conditionalFormatting>
  <conditionalFormatting sqref="F32:J54">
    <cfRule type="containsText" dxfId="338" priority="14" operator="containsText" text="ложь">
      <formula>NOT(ISERROR(SEARCH("ложь",F32)))</formula>
    </cfRule>
  </conditionalFormatting>
  <conditionalFormatting sqref="F55:J55">
    <cfRule type="containsText" dxfId="337" priority="13" operator="containsText" text="ложь">
      <formula>NOT(ISERROR(SEARCH("ложь",F55)))</formula>
    </cfRule>
  </conditionalFormatting>
  <conditionalFormatting sqref="L32:P54">
    <cfRule type="containsText" dxfId="336" priority="12" operator="containsText" text="ложь">
      <formula>NOT(ISERROR(SEARCH("ложь",L32)))</formula>
    </cfRule>
  </conditionalFormatting>
  <conditionalFormatting sqref="L55:P55">
    <cfRule type="containsText" dxfId="335" priority="11" operator="containsText" text="ложь">
      <formula>NOT(ISERROR(SEARCH("ложь",L55)))</formula>
    </cfRule>
  </conditionalFormatting>
  <conditionalFormatting sqref="R32:W54">
    <cfRule type="containsText" dxfId="334" priority="10" operator="containsText" text="ложь">
      <formula>NOT(ISERROR(SEARCH("ложь",R32)))</formula>
    </cfRule>
  </conditionalFormatting>
  <conditionalFormatting sqref="R55:W55">
    <cfRule type="containsText" dxfId="333" priority="9" operator="containsText" text="ложь">
      <formula>NOT(ISERROR(SEARCH("ложь",R55)))</formula>
    </cfRule>
  </conditionalFormatting>
  <conditionalFormatting sqref="X32:AA54">
    <cfRule type="containsText" dxfId="332" priority="8" operator="containsText" text="ложь">
      <formula>NOT(ISERROR(SEARCH("ложь",X32)))</formula>
    </cfRule>
  </conditionalFormatting>
  <conditionalFormatting sqref="X55:AA55">
    <cfRule type="containsText" dxfId="331" priority="7" operator="containsText" text="ложь">
      <formula>NOT(ISERROR(SEARCH("ложь",X55)))</formula>
    </cfRule>
  </conditionalFormatting>
  <conditionalFormatting sqref="AB32:AB33">
    <cfRule type="containsText" dxfId="330" priority="6" operator="containsText" text="ложь">
      <formula>NOT(ISERROR(SEARCH("ложь",AB32)))</formula>
    </cfRule>
  </conditionalFormatting>
  <conditionalFormatting sqref="AD32:AH33">
    <cfRule type="containsText" dxfId="329" priority="5" operator="containsText" text="ложь">
      <formula>NOT(ISERROR(SEARCH("ложь",AD32)))</formula>
    </cfRule>
  </conditionalFormatting>
  <conditionalFormatting sqref="AJ32:AN33">
    <cfRule type="containsText" dxfId="328" priority="4" operator="containsText" text="ложь">
      <formula>NOT(ISERROR(SEARCH("ложь",AJ32)))</formula>
    </cfRule>
  </conditionalFormatting>
  <conditionalFormatting sqref="AQ32:AT33">
    <cfRule type="containsText" dxfId="327" priority="3" operator="containsText" text="ложь">
      <formula>NOT(ISERROR(SEARCH("ложь",AQ32)))</formula>
    </cfRule>
  </conditionalFormatting>
  <conditionalFormatting sqref="AP33">
    <cfRule type="containsText" dxfId="326" priority="2" operator="containsText" text="ложь">
      <formula>NOT(ISERROR(SEARCH("ложь",AP33)))</formula>
    </cfRule>
  </conditionalFormatting>
  <conditionalFormatting sqref="AP32">
    <cfRule type="containsText" dxfId="325" priority="1" operator="containsText" text="ложь">
      <formula>NOT(ISERROR(SEARCH("ложь",AP32)))</formula>
    </cfRule>
  </conditionalFormatting>
  <hyperlinks>
    <hyperlink ref="A57" location="Contents!A1" display="Contents!A1" xr:uid="{00000000-0004-0000-0B00-000000000000}"/>
  </hyperlinks>
  <pageMargins left="0.7" right="0.7" top="0.75" bottom="0.75" header="0.3" footer="0.3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5">
    <pageSetUpPr fitToPage="1"/>
  </sheetPr>
  <dimension ref="A1:AV43"/>
  <sheetViews>
    <sheetView showGridLines="0" zoomScaleNormal="10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5" width="10.710937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7" width="10.7109375" style="20" customWidth="1"/>
    <col min="48" max="16384" width="9.140625" style="20"/>
  </cols>
  <sheetData>
    <row r="1" spans="1:47" s="220" customFormat="1" ht="15" customHeight="1" x14ac:dyDescent="0.2"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7" ht="15" customHeight="1" x14ac:dyDescent="0.2">
      <c r="A2" s="335" t="str">
        <f>IF(Contents!$A$1=2,"MAIN MACROECONOMIC FACTORS","ОСНОВНЫЕ МАКРОЭКОНОМИЧЕСКИЕ ФАКТОРЫ")</f>
        <v>ОСНОВНЫЕ МАКРОЭКОНОМИЧЕСКИЕ ФАКТОРЫ</v>
      </c>
      <c r="B2" s="133"/>
    </row>
    <row r="3" spans="1:47" ht="15" customHeight="1" thickBot="1" x14ac:dyDescent="0.25">
      <c r="A3" s="132"/>
      <c r="B3" s="1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52"/>
    </row>
    <row r="4" spans="1:47" ht="15" customHeight="1" thickTop="1" x14ac:dyDescent="0.2">
      <c r="AT4" s="220"/>
      <c r="AU4" s="220"/>
    </row>
    <row r="5" spans="1:47" s="21" customFormat="1" ht="15" customHeight="1" x14ac:dyDescent="0.3">
      <c r="A5" s="39" t="str">
        <f>IF(Contents!$A$1=2,"International crude oil and refined products prices","Цены на нефть и нефтепродукты на международных рынках")</f>
        <v>Цены на нефть и нефтепродукты на международных рынках</v>
      </c>
      <c r="B5" s="39"/>
      <c r="Q5" s="223"/>
      <c r="W5" s="223"/>
      <c r="AC5" s="223"/>
      <c r="AI5" s="223"/>
      <c r="AO5" s="223"/>
      <c r="AT5" s="223"/>
      <c r="AU5" s="223"/>
    </row>
    <row r="6" spans="1:47" ht="15" customHeight="1" x14ac:dyDescent="0.2"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  <c r="AT6" s="233"/>
      <c r="AU6" s="233"/>
    </row>
    <row r="7" spans="1:47" s="206" customFormat="1" ht="15" customHeight="1" x14ac:dyDescent="0.2">
      <c r="A7" s="75"/>
      <c r="B7" s="313"/>
      <c r="C7" s="16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26">
        <v>2017</v>
      </c>
      <c r="W7" s="328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26">
        <v>2018</v>
      </c>
      <c r="AC7" s="328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26">
        <v>2019</v>
      </c>
      <c r="AI7" s="328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26">
        <v>2020</v>
      </c>
      <c r="AO7" s="328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26">
        <v>2021</v>
      </c>
      <c r="AU7" s="328"/>
    </row>
    <row r="8" spans="1:47" s="384" customFormat="1" ht="15" customHeight="1" x14ac:dyDescent="0.2">
      <c r="A8" s="136" t="str">
        <f>IF(Contents!$A$1=2,"Brent FOB dated","Нефть сорта «Брент» (ФОБ Роттердам)")</f>
        <v>Нефть сорта «Брент» (ФОБ Роттердам)</v>
      </c>
      <c r="B8" s="280" t="str">
        <f>IF(Contents!$A$1=2,"USD/bbl","долл./барр")</f>
        <v>долл./барр</v>
      </c>
      <c r="C8" s="377"/>
      <c r="D8" s="546">
        <v>98.95</v>
      </c>
      <c r="E8" s="546"/>
      <c r="F8" s="546">
        <v>53.94</v>
      </c>
      <c r="G8" s="546">
        <v>61.88</v>
      </c>
      <c r="H8" s="546">
        <v>50.47</v>
      </c>
      <c r="I8" s="546">
        <v>43.76</v>
      </c>
      <c r="J8" s="546">
        <v>52.39</v>
      </c>
      <c r="K8" s="546"/>
      <c r="L8" s="546">
        <v>33.94</v>
      </c>
      <c r="M8" s="546">
        <v>45.59</v>
      </c>
      <c r="N8" s="546">
        <v>45.86</v>
      </c>
      <c r="O8" s="546">
        <v>49.33</v>
      </c>
      <c r="P8" s="546">
        <v>43.73</v>
      </c>
      <c r="Q8" s="546"/>
      <c r="R8" s="546">
        <v>53.69</v>
      </c>
      <c r="S8" s="546">
        <v>49.64</v>
      </c>
      <c r="T8" s="546">
        <v>52.08</v>
      </c>
      <c r="U8" s="546">
        <v>61.44</v>
      </c>
      <c r="V8" s="546">
        <v>54.28</v>
      </c>
      <c r="W8" s="546"/>
      <c r="X8" s="546">
        <v>66.81</v>
      </c>
      <c r="Y8" s="546">
        <v>74.23</v>
      </c>
      <c r="Z8" s="546">
        <v>75.25</v>
      </c>
      <c r="AA8" s="546">
        <v>67.430000000000007</v>
      </c>
      <c r="AB8" s="546">
        <v>70.94</v>
      </c>
      <c r="AC8" s="546"/>
      <c r="AD8" s="546">
        <v>63.05</v>
      </c>
      <c r="AE8" s="546">
        <v>68.94</v>
      </c>
      <c r="AF8" s="546">
        <v>61.83</v>
      </c>
      <c r="AG8" s="546">
        <v>63.32</v>
      </c>
      <c r="AH8" s="546">
        <v>64.28</v>
      </c>
      <c r="AI8" s="546"/>
      <c r="AJ8" s="546">
        <v>50.45</v>
      </c>
      <c r="AK8" s="546">
        <v>29.51</v>
      </c>
      <c r="AL8" s="546">
        <v>42.93</v>
      </c>
      <c r="AM8" s="546">
        <v>44.24</v>
      </c>
      <c r="AN8" s="546">
        <v>41.79</v>
      </c>
      <c r="AO8" s="546"/>
      <c r="AP8" s="546">
        <v>60.85</v>
      </c>
      <c r="AQ8" s="546">
        <v>68.650000000000006</v>
      </c>
      <c r="AR8" s="546">
        <v>73.55</v>
      </c>
      <c r="AS8" s="546">
        <v>79.48</v>
      </c>
      <c r="AT8" s="546">
        <v>70.69</v>
      </c>
      <c r="AU8" s="336"/>
    </row>
    <row r="9" spans="1:47" s="16" customFormat="1" ht="15" customHeight="1" x14ac:dyDescent="0.2">
      <c r="A9" s="136" t="str">
        <f>IF(Contents!$A$1=2,"Urals crude (average MED and Rotterdam)","Нефть сорта «Юралс» (средняя на средиземноморском и роттердамском рынках)")</f>
        <v>Нефть сорта «Юралс» (средняя на средиземноморском и роттердамском рынках)</v>
      </c>
      <c r="B9" s="280" t="str">
        <f>IF(Contents!$A$1=2,"USD/bbl","долл./барр")</f>
        <v>долл./барр</v>
      </c>
      <c r="D9" s="547">
        <v>0</v>
      </c>
      <c r="E9" s="547"/>
      <c r="F9" s="547">
        <v>0</v>
      </c>
      <c r="G9" s="547">
        <v>0</v>
      </c>
      <c r="H9" s="547">
        <v>0</v>
      </c>
      <c r="I9" s="547">
        <v>0</v>
      </c>
      <c r="J9" s="547">
        <v>0</v>
      </c>
      <c r="K9" s="547"/>
      <c r="L9" s="547">
        <v>31.78</v>
      </c>
      <c r="M9" s="547">
        <v>43.4</v>
      </c>
      <c r="N9" s="547">
        <v>43.73</v>
      </c>
      <c r="O9" s="547">
        <v>47.768913043478257</v>
      </c>
      <c r="P9" s="547">
        <v>41.69</v>
      </c>
      <c r="Q9" s="547"/>
      <c r="R9" s="547">
        <v>51.94</v>
      </c>
      <c r="S9" s="547">
        <v>48.43</v>
      </c>
      <c r="T9" s="547">
        <v>51.16</v>
      </c>
      <c r="U9" s="547">
        <v>60.74</v>
      </c>
      <c r="V9" s="547">
        <v>53.09</v>
      </c>
      <c r="W9" s="547"/>
      <c r="X9" s="547">
        <v>65.17</v>
      </c>
      <c r="Y9" s="547">
        <v>72.459999999999994</v>
      </c>
      <c r="Z9" s="547">
        <v>74.12</v>
      </c>
      <c r="AA9" s="547">
        <v>67.16</v>
      </c>
      <c r="AB9" s="547">
        <v>69.75</v>
      </c>
      <c r="AC9" s="547"/>
      <c r="AD9" s="547">
        <v>63.21</v>
      </c>
      <c r="AE9" s="547">
        <v>68.459999999999994</v>
      </c>
      <c r="AF9" s="547">
        <v>61.26</v>
      </c>
      <c r="AG9" s="547">
        <v>62.67</v>
      </c>
      <c r="AH9" s="547">
        <v>63.89</v>
      </c>
      <c r="AI9" s="547"/>
      <c r="AJ9" s="547">
        <v>48.38</v>
      </c>
      <c r="AK9" s="547">
        <v>29.58</v>
      </c>
      <c r="AL9" s="547">
        <v>43.24</v>
      </c>
      <c r="AM9" s="547">
        <v>44.31</v>
      </c>
      <c r="AN9" s="547">
        <v>41.39</v>
      </c>
      <c r="AO9" s="547"/>
      <c r="AP9" s="547">
        <v>59.81</v>
      </c>
      <c r="AQ9" s="547">
        <v>67.010000000000005</v>
      </c>
      <c r="AR9" s="547">
        <v>71.19</v>
      </c>
      <c r="AS9" s="547">
        <v>78.17</v>
      </c>
      <c r="AT9" s="547">
        <v>69.099999999999994</v>
      </c>
      <c r="AU9" s="152"/>
    </row>
    <row r="10" spans="1:47" s="16" customFormat="1" ht="15" customHeight="1" x14ac:dyDescent="0.2">
      <c r="A10" s="398"/>
      <c r="B10" s="280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547"/>
      <c r="AO10" s="547"/>
      <c r="AP10" s="547"/>
      <c r="AQ10" s="547"/>
      <c r="AR10" s="547"/>
      <c r="AS10" s="547"/>
      <c r="AT10" s="547"/>
      <c r="AU10" s="152"/>
    </row>
    <row r="11" spans="1:47" s="16" customFormat="1" ht="15" customHeight="1" x14ac:dyDescent="0.2">
      <c r="A11" s="136" t="str">
        <f>IF(Contents!$A$1=2,"Diesel fuel 10 ppm (FOB Rotterdam)","Дизельное топливо 0,01% (ФОБ Роттердам) ")</f>
        <v xml:space="preserve">Дизельное топливо 0,01% (ФОБ Роттердам) </v>
      </c>
      <c r="B11" s="280" t="str">
        <f>IF(Contents!$A$1=2,"USD/t","долл./т")</f>
        <v>долл./т</v>
      </c>
      <c r="D11" s="547">
        <v>855.17</v>
      </c>
      <c r="E11" s="547"/>
      <c r="F11" s="547">
        <v>530.15</v>
      </c>
      <c r="G11" s="547">
        <v>579.97</v>
      </c>
      <c r="H11" s="547">
        <v>482.89</v>
      </c>
      <c r="I11" s="547">
        <v>409.69</v>
      </c>
      <c r="J11" s="547">
        <v>499.55</v>
      </c>
      <c r="K11" s="547"/>
      <c r="L11" s="547">
        <v>312.55</v>
      </c>
      <c r="M11" s="547">
        <v>411.25</v>
      </c>
      <c r="N11" s="547">
        <v>407.1</v>
      </c>
      <c r="O11" s="547">
        <v>455.39</v>
      </c>
      <c r="P11" s="547">
        <v>396.99</v>
      </c>
      <c r="Q11" s="547"/>
      <c r="R11" s="547">
        <v>479.02</v>
      </c>
      <c r="S11" s="547">
        <v>450.47</v>
      </c>
      <c r="T11" s="547">
        <v>488.2</v>
      </c>
      <c r="U11" s="547">
        <v>555.54999999999995</v>
      </c>
      <c r="V11" s="547">
        <v>493.92</v>
      </c>
      <c r="W11" s="547"/>
      <c r="X11" s="547">
        <v>591.62</v>
      </c>
      <c r="Y11" s="547">
        <v>657.94</v>
      </c>
      <c r="Z11" s="547">
        <v>668.03</v>
      </c>
      <c r="AA11" s="547">
        <v>636.64</v>
      </c>
      <c r="AB11" s="547">
        <v>638.76</v>
      </c>
      <c r="AC11" s="547"/>
      <c r="AD11" s="547">
        <v>587.57000000000005</v>
      </c>
      <c r="AE11" s="547">
        <v>610.38</v>
      </c>
      <c r="AF11" s="547">
        <v>578.67999999999995</v>
      </c>
      <c r="AG11" s="547">
        <v>588.62</v>
      </c>
      <c r="AH11" s="547">
        <v>591.28</v>
      </c>
      <c r="AI11" s="547"/>
      <c r="AJ11" s="547">
        <v>470.23</v>
      </c>
      <c r="AK11" s="547">
        <v>279.64999999999998</v>
      </c>
      <c r="AL11" s="547">
        <v>353.88</v>
      </c>
      <c r="AM11" s="547">
        <v>364.68</v>
      </c>
      <c r="AN11" s="547">
        <v>367.07</v>
      </c>
      <c r="AO11" s="547"/>
      <c r="AP11" s="547">
        <v>490.66</v>
      </c>
      <c r="AQ11" s="547">
        <v>552.54999999999995</v>
      </c>
      <c r="AR11" s="547">
        <v>601.70000000000005</v>
      </c>
      <c r="AS11" s="547">
        <v>682.09</v>
      </c>
      <c r="AT11" s="547">
        <v>582.33000000000004</v>
      </c>
      <c r="AU11" s="152"/>
    </row>
    <row r="12" spans="1:47" s="16" customFormat="1" ht="15" customHeight="1" x14ac:dyDescent="0.2">
      <c r="A12" s="136" t="str">
        <f>IF(Contents!$A$1=2,"High-octane gasoline (FOB Rotterdam)","Высокооктановый бензин (ФОБ Роттердам) ")</f>
        <v xml:space="preserve">Высокооктановый бензин (ФОБ Роттердам) </v>
      </c>
      <c r="B12" s="280" t="str">
        <f>IF(Contents!$A$1=2,"USD/t","долл./т")</f>
        <v>долл./т</v>
      </c>
      <c r="D12" s="547">
        <v>918.87</v>
      </c>
      <c r="E12" s="547"/>
      <c r="F12" s="547">
        <v>548.78</v>
      </c>
      <c r="G12" s="547">
        <v>671</v>
      </c>
      <c r="H12" s="547">
        <v>599.03</v>
      </c>
      <c r="I12" s="547">
        <v>462.16</v>
      </c>
      <c r="J12" s="547">
        <v>569.25</v>
      </c>
      <c r="K12" s="547"/>
      <c r="L12" s="547">
        <v>386.04</v>
      </c>
      <c r="M12" s="547">
        <v>503.24</v>
      </c>
      <c r="N12" s="547">
        <v>472.82</v>
      </c>
      <c r="O12" s="547">
        <v>504.64</v>
      </c>
      <c r="P12" s="547">
        <v>467.05</v>
      </c>
      <c r="Q12" s="547"/>
      <c r="R12" s="547">
        <v>544.9</v>
      </c>
      <c r="S12" s="547">
        <v>527.45000000000005</v>
      </c>
      <c r="T12" s="547">
        <v>560.05999999999995</v>
      </c>
      <c r="U12" s="547">
        <v>595.70000000000005</v>
      </c>
      <c r="V12" s="547">
        <v>557.66</v>
      </c>
      <c r="W12" s="547"/>
      <c r="X12" s="547">
        <v>644.57000000000005</v>
      </c>
      <c r="Y12" s="547">
        <v>712.16</v>
      </c>
      <c r="Z12" s="547">
        <v>733.68</v>
      </c>
      <c r="AA12" s="547">
        <v>596.82000000000005</v>
      </c>
      <c r="AB12" s="547">
        <v>671.85</v>
      </c>
      <c r="AC12" s="547"/>
      <c r="AD12" s="547">
        <v>548.36</v>
      </c>
      <c r="AE12" s="547">
        <v>684.09</v>
      </c>
      <c r="AF12" s="547">
        <v>622.61</v>
      </c>
      <c r="AG12" s="547">
        <v>604.07000000000005</v>
      </c>
      <c r="AH12" s="547">
        <v>614.96</v>
      </c>
      <c r="AI12" s="547"/>
      <c r="AJ12" s="547">
        <v>469.55</v>
      </c>
      <c r="AK12" s="547">
        <v>269.13</v>
      </c>
      <c r="AL12" s="547">
        <v>394.45</v>
      </c>
      <c r="AM12" s="547">
        <v>397.03</v>
      </c>
      <c r="AN12" s="547">
        <v>382.61</v>
      </c>
      <c r="AO12" s="547"/>
      <c r="AP12" s="547">
        <v>557.42999999999995</v>
      </c>
      <c r="AQ12" s="547">
        <v>657.25</v>
      </c>
      <c r="AR12" s="547">
        <v>718.74</v>
      </c>
      <c r="AS12" s="547">
        <v>768.7</v>
      </c>
      <c r="AT12" s="547">
        <v>676.22</v>
      </c>
      <c r="AU12" s="152"/>
    </row>
    <row r="13" spans="1:47" s="206" customFormat="1" ht="15" customHeight="1" x14ac:dyDescent="0.2">
      <c r="A13" s="136" t="str">
        <f>IF(Contents!$A$1=2,"Naphtha (FOB Rotterdam)","Нафта (ФОБ Роттердам)")</f>
        <v>Нафта (ФОБ Роттердам)</v>
      </c>
      <c r="B13" s="280" t="str">
        <f>IF(Contents!$A$1=2,"USD/t","долл./т")</f>
        <v>долл./т</v>
      </c>
      <c r="C13" s="16"/>
      <c r="D13" s="547">
        <v>0</v>
      </c>
      <c r="E13" s="547"/>
      <c r="F13" s="547">
        <v>0</v>
      </c>
      <c r="G13" s="547">
        <v>0</v>
      </c>
      <c r="H13" s="547">
        <v>0</v>
      </c>
      <c r="I13" s="547">
        <v>0</v>
      </c>
      <c r="J13" s="547">
        <v>0</v>
      </c>
      <c r="K13" s="547"/>
      <c r="L13" s="547">
        <v>316.44</v>
      </c>
      <c r="M13" s="547">
        <v>395.87</v>
      </c>
      <c r="N13" s="547">
        <v>377.71</v>
      </c>
      <c r="O13" s="547">
        <v>435.56349206349205</v>
      </c>
      <c r="P13" s="547">
        <v>382.46</v>
      </c>
      <c r="Q13" s="547"/>
      <c r="R13" s="547">
        <v>480.66</v>
      </c>
      <c r="S13" s="547">
        <v>428.21</v>
      </c>
      <c r="T13" s="547">
        <v>458.59</v>
      </c>
      <c r="U13" s="547">
        <v>552.66999999999996</v>
      </c>
      <c r="V13" s="547">
        <v>480.75</v>
      </c>
      <c r="W13" s="547"/>
      <c r="X13" s="547">
        <v>569.84</v>
      </c>
      <c r="Y13" s="547">
        <v>631.37</v>
      </c>
      <c r="Z13" s="547">
        <v>649.09</v>
      </c>
      <c r="AA13" s="547">
        <v>537.79999999999995</v>
      </c>
      <c r="AB13" s="547">
        <v>597.08000000000004</v>
      </c>
      <c r="AC13" s="547"/>
      <c r="AD13" s="547">
        <v>492.07</v>
      </c>
      <c r="AE13" s="547">
        <v>524.53</v>
      </c>
      <c r="AF13" s="547">
        <v>471.83</v>
      </c>
      <c r="AG13" s="547">
        <v>516.87</v>
      </c>
      <c r="AH13" s="547">
        <v>501.31</v>
      </c>
      <c r="AI13" s="547"/>
      <c r="AJ13" s="547">
        <v>409.89</v>
      </c>
      <c r="AK13" s="547">
        <v>233.61</v>
      </c>
      <c r="AL13" s="547">
        <v>372.17</v>
      </c>
      <c r="AM13" s="547">
        <v>389.1</v>
      </c>
      <c r="AN13" s="547">
        <v>351.35</v>
      </c>
      <c r="AO13" s="547"/>
      <c r="AP13" s="547">
        <v>538.53</v>
      </c>
      <c r="AQ13" s="547">
        <v>589.73</v>
      </c>
      <c r="AR13" s="547">
        <v>663.12</v>
      </c>
      <c r="AS13" s="547">
        <v>725.23</v>
      </c>
      <c r="AT13" s="547">
        <v>629.76</v>
      </c>
      <c r="AU13" s="152"/>
    </row>
    <row r="14" spans="1:47" s="206" customFormat="1" ht="15" customHeight="1" x14ac:dyDescent="0.2">
      <c r="A14" s="136" t="str">
        <f>IF(Contents!$A$1=2,"Jet fuel (FOB Rotterdam)","Реактивное топливо (ФОБ Роттердам)")</f>
        <v>Реактивное топливо (ФОБ Роттердам)</v>
      </c>
      <c r="B14" s="280" t="str">
        <f>IF(Contents!$A$1=2,"USD/t","долл./т")</f>
        <v>долл./т</v>
      </c>
      <c r="C14" s="16"/>
      <c r="D14" s="547">
        <v>0</v>
      </c>
      <c r="E14" s="547"/>
      <c r="F14" s="547">
        <v>0</v>
      </c>
      <c r="G14" s="547">
        <v>0</v>
      </c>
      <c r="H14" s="547">
        <v>0</v>
      </c>
      <c r="I14" s="547">
        <v>0</v>
      </c>
      <c r="J14" s="547">
        <v>0</v>
      </c>
      <c r="K14" s="547"/>
      <c r="L14" s="547">
        <v>337.42</v>
      </c>
      <c r="M14" s="547">
        <v>434</v>
      </c>
      <c r="N14" s="547">
        <v>434.14</v>
      </c>
      <c r="O14" s="547">
        <v>480.12698412698415</v>
      </c>
      <c r="P14" s="547">
        <v>422.2</v>
      </c>
      <c r="Q14" s="547"/>
      <c r="R14" s="547">
        <v>509.96</v>
      </c>
      <c r="S14" s="547">
        <v>478.78</v>
      </c>
      <c r="T14" s="547">
        <v>517.62</v>
      </c>
      <c r="U14" s="547">
        <v>595.46</v>
      </c>
      <c r="V14" s="547">
        <v>526.16999999999996</v>
      </c>
      <c r="W14" s="547"/>
      <c r="X14" s="547">
        <v>646.87</v>
      </c>
      <c r="Y14" s="547">
        <v>706.06</v>
      </c>
      <c r="Z14" s="547">
        <v>707.38</v>
      </c>
      <c r="AA14" s="547">
        <v>671.92</v>
      </c>
      <c r="AB14" s="547">
        <v>683.19</v>
      </c>
      <c r="AC14" s="547"/>
      <c r="AD14" s="547">
        <v>620.51</v>
      </c>
      <c r="AE14" s="547">
        <v>646.47</v>
      </c>
      <c r="AF14" s="547">
        <v>626.15</v>
      </c>
      <c r="AG14" s="547">
        <v>627.23</v>
      </c>
      <c r="AH14" s="547">
        <v>630.1</v>
      </c>
      <c r="AI14" s="547"/>
      <c r="AJ14" s="547">
        <v>481.71</v>
      </c>
      <c r="AK14" s="547">
        <v>247.14</v>
      </c>
      <c r="AL14" s="547">
        <v>340.7</v>
      </c>
      <c r="AM14" s="547">
        <v>376.52</v>
      </c>
      <c r="AN14" s="547">
        <v>361.5</v>
      </c>
      <c r="AO14" s="547"/>
      <c r="AP14" s="547">
        <v>508.96</v>
      </c>
      <c r="AQ14" s="547">
        <v>574.14</v>
      </c>
      <c r="AR14" s="547">
        <v>625.79999999999995</v>
      </c>
      <c r="AS14" s="547">
        <v>712.27</v>
      </c>
      <c r="AT14" s="547">
        <v>605.91</v>
      </c>
      <c r="AU14" s="152"/>
    </row>
    <row r="15" spans="1:47" s="206" customFormat="1" ht="15" customHeight="1" x14ac:dyDescent="0.2">
      <c r="A15" s="136" t="str">
        <f>IF(Contents!$A$1=2,"Vacuum gas oil (FOB Rotterdam)","Вакуумный газойль (ФОБ Роттердам)")</f>
        <v>Вакуумный газойль (ФОБ Роттердам)</v>
      </c>
      <c r="B15" s="280" t="str">
        <f>IF(Contents!$A$1=2,"USD/t","долл./т")</f>
        <v>долл./т</v>
      </c>
      <c r="C15" s="16"/>
      <c r="D15" s="547">
        <v>0</v>
      </c>
      <c r="E15" s="547"/>
      <c r="F15" s="547">
        <v>0</v>
      </c>
      <c r="G15" s="547">
        <v>0</v>
      </c>
      <c r="H15" s="547">
        <v>0</v>
      </c>
      <c r="I15" s="547">
        <v>0</v>
      </c>
      <c r="J15" s="547">
        <v>0</v>
      </c>
      <c r="K15" s="547"/>
      <c r="L15" s="547">
        <v>222.56</v>
      </c>
      <c r="M15" s="547">
        <v>311.75</v>
      </c>
      <c r="N15" s="547">
        <v>310.94</v>
      </c>
      <c r="O15" s="547">
        <v>326.11904761904759</v>
      </c>
      <c r="P15" s="547">
        <v>293.29000000000002</v>
      </c>
      <c r="Q15" s="547"/>
      <c r="R15" s="547">
        <v>352.38</v>
      </c>
      <c r="S15" s="547">
        <v>345.54</v>
      </c>
      <c r="T15" s="547">
        <v>357.82</v>
      </c>
      <c r="U15" s="547">
        <v>419.13</v>
      </c>
      <c r="V15" s="547">
        <v>369.15</v>
      </c>
      <c r="W15" s="547"/>
      <c r="X15" s="547">
        <v>466.78</v>
      </c>
      <c r="Y15" s="547">
        <v>510.99</v>
      </c>
      <c r="Z15" s="547">
        <v>511.19</v>
      </c>
      <c r="AA15" s="547">
        <v>462.35</v>
      </c>
      <c r="AB15" s="547">
        <v>487.88</v>
      </c>
      <c r="AC15" s="547"/>
      <c r="AD15" s="547">
        <v>426.06</v>
      </c>
      <c r="AE15" s="547">
        <v>490.82</v>
      </c>
      <c r="AF15" s="547">
        <v>439.9</v>
      </c>
      <c r="AG15" s="547">
        <v>444.55</v>
      </c>
      <c r="AH15" s="547">
        <v>450.36</v>
      </c>
      <c r="AI15" s="547"/>
      <c r="AJ15" s="547">
        <v>382.08</v>
      </c>
      <c r="AK15" s="547">
        <v>200.8</v>
      </c>
      <c r="AL15" s="547">
        <v>297.22000000000003</v>
      </c>
      <c r="AM15" s="547">
        <v>311.54000000000002</v>
      </c>
      <c r="AN15" s="547">
        <v>297.95</v>
      </c>
      <c r="AO15" s="547"/>
      <c r="AP15" s="547">
        <v>423.58</v>
      </c>
      <c r="AQ15" s="547">
        <v>473.32</v>
      </c>
      <c r="AR15" s="547">
        <v>505.39</v>
      </c>
      <c r="AS15" s="547">
        <v>540</v>
      </c>
      <c r="AT15" s="547">
        <v>485.95</v>
      </c>
      <c r="AU15" s="152"/>
    </row>
    <row r="16" spans="1:47" s="206" customFormat="1" ht="15" customHeight="1" x14ac:dyDescent="0.2">
      <c r="A16" s="136" t="str">
        <f>IF(Contents!$A$1=2,"Marine fuel 0.5% (FOB Rotterdam)","Судовое топливо 0,5% (ФОБ Роттердам)")</f>
        <v>Судовое топливо 0,5% (ФОБ Роттердам)</v>
      </c>
      <c r="B16" s="280" t="str">
        <f>IF(Contents!$A$1=2,"USD/t","долл./т")</f>
        <v>долл./т</v>
      </c>
      <c r="C16" s="16"/>
      <c r="D16" s="547">
        <v>0</v>
      </c>
      <c r="E16" s="547"/>
      <c r="F16" s="547">
        <v>0</v>
      </c>
      <c r="G16" s="547">
        <v>0</v>
      </c>
      <c r="H16" s="547">
        <v>0</v>
      </c>
      <c r="I16" s="547">
        <v>0</v>
      </c>
      <c r="J16" s="547">
        <v>0</v>
      </c>
      <c r="K16" s="547"/>
      <c r="L16" s="547">
        <v>0</v>
      </c>
      <c r="M16" s="547">
        <v>0</v>
      </c>
      <c r="N16" s="547">
        <v>0</v>
      </c>
      <c r="O16" s="547">
        <v>0</v>
      </c>
      <c r="P16" s="547">
        <v>0</v>
      </c>
      <c r="Q16" s="547"/>
      <c r="R16" s="547">
        <v>0</v>
      </c>
      <c r="S16" s="547">
        <v>0</v>
      </c>
      <c r="T16" s="547">
        <v>0</v>
      </c>
      <c r="U16" s="547">
        <v>0</v>
      </c>
      <c r="V16" s="547">
        <v>0</v>
      </c>
      <c r="W16" s="547"/>
      <c r="X16" s="547">
        <v>0</v>
      </c>
      <c r="Y16" s="547">
        <v>0</v>
      </c>
      <c r="Z16" s="547">
        <v>0</v>
      </c>
      <c r="AA16" s="547">
        <v>0</v>
      </c>
      <c r="AB16" s="547">
        <v>0</v>
      </c>
      <c r="AC16" s="547"/>
      <c r="AD16" s="547">
        <v>0</v>
      </c>
      <c r="AE16" s="547">
        <v>0</v>
      </c>
      <c r="AF16" s="547">
        <v>0</v>
      </c>
      <c r="AG16" s="547">
        <v>0</v>
      </c>
      <c r="AH16" s="547">
        <v>0</v>
      </c>
      <c r="AI16" s="547"/>
      <c r="AJ16" s="547">
        <v>399.28</v>
      </c>
      <c r="AK16" s="547">
        <v>223.93</v>
      </c>
      <c r="AL16" s="547">
        <v>296.39999999999998</v>
      </c>
      <c r="AM16" s="547">
        <v>326.37</v>
      </c>
      <c r="AN16" s="547">
        <v>311.5</v>
      </c>
      <c r="AO16" s="547"/>
      <c r="AP16" s="547">
        <v>441.16</v>
      </c>
      <c r="AQ16" s="547">
        <v>478.1</v>
      </c>
      <c r="AR16" s="547">
        <v>506.03</v>
      </c>
      <c r="AS16" s="547">
        <v>548.19000000000005</v>
      </c>
      <c r="AT16" s="547">
        <v>493.7</v>
      </c>
      <c r="AU16" s="152"/>
    </row>
    <row r="17" spans="1:48" s="384" customFormat="1" ht="15" customHeight="1" x14ac:dyDescent="0.2">
      <c r="A17" s="136" t="str">
        <f>IF(Contents!$A$1=2,"Fuel oil 3.5% (FOB Rotterdam)","Мазут 3,5% (ФОБ Роттердам) ")</f>
        <v xml:space="preserve">Мазут 3,5% (ФОБ Роттердам) </v>
      </c>
      <c r="B17" s="280" t="str">
        <f>IF(Contents!$A$1=2,"USD/t","долл./т")</f>
        <v>долл./т</v>
      </c>
      <c r="C17" s="377"/>
      <c r="D17" s="546">
        <v>527.05999999999995</v>
      </c>
      <c r="E17" s="546"/>
      <c r="F17" s="546">
        <v>276.29000000000002</v>
      </c>
      <c r="G17" s="546">
        <v>323.5</v>
      </c>
      <c r="H17" s="546">
        <v>243.76</v>
      </c>
      <c r="I17" s="546">
        <v>185.03</v>
      </c>
      <c r="J17" s="546">
        <v>256.23</v>
      </c>
      <c r="K17" s="546"/>
      <c r="L17" s="546">
        <v>135.28</v>
      </c>
      <c r="M17" s="546">
        <v>199.75</v>
      </c>
      <c r="N17" s="546">
        <v>228.98</v>
      </c>
      <c r="O17" s="546">
        <v>264.70999999999998</v>
      </c>
      <c r="P17" s="546">
        <v>207.64</v>
      </c>
      <c r="Q17" s="546"/>
      <c r="R17" s="546">
        <v>290.17</v>
      </c>
      <c r="S17" s="546">
        <v>278.2</v>
      </c>
      <c r="T17" s="546">
        <v>295.75</v>
      </c>
      <c r="U17" s="546">
        <v>336.48</v>
      </c>
      <c r="V17" s="546">
        <v>300.49</v>
      </c>
      <c r="W17" s="546"/>
      <c r="X17" s="546">
        <v>353.98</v>
      </c>
      <c r="Y17" s="546">
        <v>400.63</v>
      </c>
      <c r="Z17" s="546">
        <v>424.6</v>
      </c>
      <c r="AA17" s="546">
        <v>395.92</v>
      </c>
      <c r="AB17" s="546">
        <v>393.98</v>
      </c>
      <c r="AC17" s="546"/>
      <c r="AD17" s="546">
        <v>376.25</v>
      </c>
      <c r="AE17" s="546">
        <v>387.74</v>
      </c>
      <c r="AF17" s="546">
        <v>330.41</v>
      </c>
      <c r="AG17" s="546">
        <v>227.1</v>
      </c>
      <c r="AH17" s="546">
        <v>329.97</v>
      </c>
      <c r="AI17" s="546"/>
      <c r="AJ17" s="546">
        <v>227.56</v>
      </c>
      <c r="AK17" s="546">
        <v>161.54</v>
      </c>
      <c r="AL17" s="546">
        <v>240.35</v>
      </c>
      <c r="AM17" s="546">
        <v>255.45</v>
      </c>
      <c r="AN17" s="546">
        <v>221.37</v>
      </c>
      <c r="AO17" s="546"/>
      <c r="AP17" s="546">
        <v>340.71</v>
      </c>
      <c r="AQ17" s="546">
        <v>370.56</v>
      </c>
      <c r="AR17" s="546">
        <v>396.64</v>
      </c>
      <c r="AS17" s="546">
        <v>424.54</v>
      </c>
      <c r="AT17" s="546">
        <v>383.38</v>
      </c>
      <c r="AU17" s="336"/>
    </row>
    <row r="18" spans="1:48" s="206" customFormat="1" ht="15" customHeight="1" x14ac:dyDescent="0.2">
      <c r="A18" s="61" t="str">
        <f>IF(Contents!$A$1=2,"Source: Platts, Argus","Источник: Платтс, Argus")</f>
        <v>Источник: Платтс, Argus</v>
      </c>
      <c r="B18" s="275"/>
      <c r="C18" s="112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48" s="206" customFormat="1" ht="15" customHeight="1" x14ac:dyDescent="0.2">
      <c r="A19" s="124"/>
      <c r="B19" s="275"/>
      <c r="C19" s="112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</row>
    <row r="20" spans="1:48" s="206" customFormat="1" ht="15" customHeight="1" x14ac:dyDescent="0.2">
      <c r="A20" s="39" t="str">
        <f>IF(Contents!$A$1=2,"Domestic crude oil and refined products prices","Цены на нефть и нефтепродукты на внутреннем рынке")</f>
        <v>Цены на нефть и нефтепродукты на внутреннем рынке</v>
      </c>
      <c r="B20" s="275"/>
      <c r="C20" s="112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</row>
    <row r="21" spans="1:48" s="206" customFormat="1" ht="15" customHeight="1" x14ac:dyDescent="0.2">
      <c r="A21" s="44"/>
      <c r="B21" s="275"/>
      <c r="C21" s="112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</row>
    <row r="22" spans="1:48" s="206" customFormat="1" ht="15" customHeight="1" x14ac:dyDescent="0.2">
      <c r="A22" s="75"/>
      <c r="B22" s="313"/>
      <c r="C22" s="16"/>
      <c r="D22" s="97">
        <v>2014</v>
      </c>
      <c r="E22" s="77"/>
      <c r="F22" s="98" t="str">
        <f>IF(Contents!$A$1=2,"1Q","1 кв")</f>
        <v>1 кв</v>
      </c>
      <c r="G22" s="98" t="str">
        <f>IF(Contents!$A$1=2,"2Q","2 кв")</f>
        <v>2 кв</v>
      </c>
      <c r="H22" s="98" t="str">
        <f>IF(Contents!$A$1=2,"3Q","3 кв")</f>
        <v>3 кв</v>
      </c>
      <c r="I22" s="98" t="str">
        <f>IF(Contents!$A$1=2,"4Q","4 кв")</f>
        <v>4 кв</v>
      </c>
      <c r="J22" s="97">
        <v>2015</v>
      </c>
      <c r="K22" s="77"/>
      <c r="L22" s="98" t="str">
        <f>IF(Contents!$A$1=2,"1Q","1 кв")</f>
        <v>1 кв</v>
      </c>
      <c r="M22" s="98" t="str">
        <f>IF(Contents!$A$1=2,"2Q","2 кв")</f>
        <v>2 кв</v>
      </c>
      <c r="N22" s="98" t="str">
        <f>IF(Contents!$A$1=2,"3Q","3 кв")</f>
        <v>3 кв</v>
      </c>
      <c r="O22" s="98" t="str">
        <f>IF(Contents!$A$1=2,"4Q","4 кв")</f>
        <v>4 кв</v>
      </c>
      <c r="P22" s="97">
        <v>2016</v>
      </c>
      <c r="Q22" s="77"/>
      <c r="R22" s="98" t="str">
        <f>IF(Contents!$A$1=2,"1Q","1 кв")</f>
        <v>1 кв</v>
      </c>
      <c r="S22" s="98" t="str">
        <f>IF(Contents!$A$1=2,"2Q","2 кв")</f>
        <v>2 кв</v>
      </c>
      <c r="T22" s="98" t="str">
        <f>IF(Contents!$A$1=2,"3Q","3 кв")</f>
        <v>3 кв</v>
      </c>
      <c r="U22" s="98" t="str">
        <f>IF(Contents!$A$1=2,"4Q","4 кв")</f>
        <v>4 кв</v>
      </c>
      <c r="V22" s="149">
        <v>2017</v>
      </c>
      <c r="W22" s="351"/>
      <c r="X22" s="98" t="str">
        <f>IF(Contents!$A$1=2,"1Q","1 кв")</f>
        <v>1 кв</v>
      </c>
      <c r="Y22" s="98" t="str">
        <f>IF(Contents!$A$1=2,"2Q","2 кв")</f>
        <v>2 кв</v>
      </c>
      <c r="Z22" s="98" t="str">
        <f>IF(Contents!$A$1=2,"3Q","3 кв")</f>
        <v>3 кв</v>
      </c>
      <c r="AA22" s="98" t="str">
        <f>IF(Contents!$A$1=2,"4Q","4 кв")</f>
        <v>4 кв</v>
      </c>
      <c r="AB22" s="149">
        <v>2018</v>
      </c>
      <c r="AC22" s="351"/>
      <c r="AD22" s="98" t="str">
        <f>IF(Contents!$A$1=2,"1Q","1 кв")</f>
        <v>1 кв</v>
      </c>
      <c r="AE22" s="98" t="str">
        <f>IF(Contents!$A$1=2,"2Q","2 кв")</f>
        <v>2 кв</v>
      </c>
      <c r="AF22" s="98" t="str">
        <f>IF(Contents!$A$1=2,"3Q","3 кв")</f>
        <v>3 кв</v>
      </c>
      <c r="AG22" s="98" t="str">
        <f>IF(Contents!$A$1=2,"4Q","4 кв")</f>
        <v>4 кв</v>
      </c>
      <c r="AH22" s="149">
        <v>2019</v>
      </c>
      <c r="AI22" s="351"/>
      <c r="AJ22" s="98" t="str">
        <f>IF(Contents!$A$1=2,"1Q","1 кв")</f>
        <v>1 кв</v>
      </c>
      <c r="AK22" s="98" t="str">
        <f>IF(Contents!$A$1=2,"2Q","2 кв")</f>
        <v>2 кв</v>
      </c>
      <c r="AL22" s="98" t="str">
        <f>IF(Contents!$A$1=2,"3Q","3 кв")</f>
        <v>3 кв</v>
      </c>
      <c r="AM22" s="98" t="str">
        <f>IF(Contents!$A$1=2,"4Q","4 кв")</f>
        <v>4 кв</v>
      </c>
      <c r="AN22" s="149">
        <v>2020</v>
      </c>
      <c r="AO22" s="351"/>
      <c r="AP22" s="325" t="str">
        <f>IF(Contents!$A$1=2,"1Q","1 кв")</f>
        <v>1 кв</v>
      </c>
      <c r="AQ22" s="325" t="str">
        <f>IF(Contents!$A$1=2,"2Q","2 кв")</f>
        <v>2 кв</v>
      </c>
      <c r="AR22" s="325" t="str">
        <f>IF(Contents!$A$1=2,"3Q","3 кв")</f>
        <v>3 кв</v>
      </c>
      <c r="AS22" s="325" t="str">
        <f>IF(Contents!$A$1=2,"4Q","4 кв")</f>
        <v>4 кв</v>
      </c>
      <c r="AT22" s="326">
        <v>2021</v>
      </c>
      <c r="AU22" s="351"/>
    </row>
    <row r="23" spans="1:48" s="206" customFormat="1" ht="15" customHeight="1" x14ac:dyDescent="0.2">
      <c r="A23" s="136" t="str">
        <f>IF(Contents!$A$1=2,"Diesel fuel","Дизельное топливо ")</f>
        <v xml:space="preserve">Дизельное топливо </v>
      </c>
      <c r="B23" s="316" t="str">
        <f>IF(Contents!$A$1=2,"RUB/t","руб./т")</f>
        <v>руб./т</v>
      </c>
      <c r="C23" s="127"/>
      <c r="D23" s="526">
        <v>28206</v>
      </c>
      <c r="E23" s="527"/>
      <c r="F23" s="526">
        <v>28336.86</v>
      </c>
      <c r="G23" s="526">
        <v>28901</v>
      </c>
      <c r="H23" s="526">
        <v>29949</v>
      </c>
      <c r="I23" s="526">
        <v>29674.79</v>
      </c>
      <c r="J23" s="526">
        <v>29215</v>
      </c>
      <c r="K23" s="527"/>
      <c r="L23" s="526">
        <v>27186.44</v>
      </c>
      <c r="M23" s="526">
        <v>28835</v>
      </c>
      <c r="N23" s="526">
        <v>29548</v>
      </c>
      <c r="O23" s="526">
        <v>30028</v>
      </c>
      <c r="P23" s="526">
        <v>28899</v>
      </c>
      <c r="Q23" s="528"/>
      <c r="R23" s="526">
        <v>31453</v>
      </c>
      <c r="S23" s="526">
        <v>31864</v>
      </c>
      <c r="T23" s="526">
        <v>33014</v>
      </c>
      <c r="U23" s="526">
        <v>36819</v>
      </c>
      <c r="V23" s="526">
        <v>33288</v>
      </c>
      <c r="W23" s="528"/>
      <c r="X23" s="526">
        <v>36821</v>
      </c>
      <c r="Y23" s="526">
        <v>41476</v>
      </c>
      <c r="Z23" s="526">
        <v>42888</v>
      </c>
      <c r="AA23" s="526">
        <v>45143</v>
      </c>
      <c r="AB23" s="526">
        <v>41582</v>
      </c>
      <c r="AC23" s="528"/>
      <c r="AD23" s="526">
        <v>39791</v>
      </c>
      <c r="AE23" s="526">
        <v>40092</v>
      </c>
      <c r="AF23" s="526">
        <v>40713</v>
      </c>
      <c r="AG23" s="526">
        <v>42301</v>
      </c>
      <c r="AH23" s="526">
        <v>40724</v>
      </c>
      <c r="AI23" s="528"/>
      <c r="AJ23" s="526">
        <v>38674</v>
      </c>
      <c r="AK23" s="526">
        <v>32378</v>
      </c>
      <c r="AL23" s="526">
        <v>38892</v>
      </c>
      <c r="AM23" s="526">
        <v>39226</v>
      </c>
      <c r="AN23" s="526">
        <v>37292</v>
      </c>
      <c r="AO23" s="528"/>
      <c r="AP23" s="526">
        <v>41125</v>
      </c>
      <c r="AQ23" s="526">
        <v>39368</v>
      </c>
      <c r="AR23" s="526">
        <v>45007</v>
      </c>
      <c r="AS23" s="526">
        <v>49000</v>
      </c>
      <c r="AT23" s="526">
        <v>43625</v>
      </c>
      <c r="AU23" s="86"/>
      <c r="AV23" s="85"/>
    </row>
    <row r="24" spans="1:48" s="206" customFormat="1" ht="15" customHeight="1" x14ac:dyDescent="0.2">
      <c r="A24" s="136" t="str">
        <f>IF(Contents!$A$1=2,"High-octane gasoline (Regular)","Бензин (АИ-92) ")</f>
        <v xml:space="preserve">Бензин (АИ-92) </v>
      </c>
      <c r="B24" s="271" t="str">
        <f>IF(Contents!$A$1=2,"RUB/t","руб./т")</f>
        <v>руб./т</v>
      </c>
      <c r="C24" s="123"/>
      <c r="D24" s="529">
        <v>30993</v>
      </c>
      <c r="E24" s="528"/>
      <c r="F24" s="529">
        <v>28354.52</v>
      </c>
      <c r="G24" s="529">
        <v>31963</v>
      </c>
      <c r="H24" s="529">
        <v>35636</v>
      </c>
      <c r="I24" s="529">
        <v>32528.25</v>
      </c>
      <c r="J24" s="529">
        <v>32120</v>
      </c>
      <c r="K24" s="528"/>
      <c r="L24" s="529">
        <v>31637.01</v>
      </c>
      <c r="M24" s="529">
        <v>34524</v>
      </c>
      <c r="N24" s="529">
        <v>34647</v>
      </c>
      <c r="O24" s="529">
        <v>34329</v>
      </c>
      <c r="P24" s="529">
        <v>33784</v>
      </c>
      <c r="Q24" s="528"/>
      <c r="R24" s="529">
        <v>35387</v>
      </c>
      <c r="S24" s="529">
        <v>36045</v>
      </c>
      <c r="T24" s="529">
        <v>36631</v>
      </c>
      <c r="U24" s="529">
        <v>36702</v>
      </c>
      <c r="V24" s="529">
        <v>36191</v>
      </c>
      <c r="W24" s="528"/>
      <c r="X24" s="529">
        <v>35664</v>
      </c>
      <c r="Y24" s="529">
        <v>42768</v>
      </c>
      <c r="Z24" s="529">
        <v>40572</v>
      </c>
      <c r="AA24" s="529">
        <v>41737</v>
      </c>
      <c r="AB24" s="529">
        <v>40185</v>
      </c>
      <c r="AC24" s="528"/>
      <c r="AD24" s="529">
        <v>35965</v>
      </c>
      <c r="AE24" s="529">
        <v>39046</v>
      </c>
      <c r="AF24" s="529">
        <v>39472</v>
      </c>
      <c r="AG24" s="529">
        <v>38486</v>
      </c>
      <c r="AH24" s="529">
        <v>38243</v>
      </c>
      <c r="AI24" s="528"/>
      <c r="AJ24" s="529">
        <v>38667</v>
      </c>
      <c r="AK24" s="529">
        <v>39056</v>
      </c>
      <c r="AL24" s="529">
        <v>42049</v>
      </c>
      <c r="AM24" s="529">
        <v>39139</v>
      </c>
      <c r="AN24" s="529">
        <v>39727</v>
      </c>
      <c r="AO24" s="528"/>
      <c r="AP24" s="529">
        <v>45069</v>
      </c>
      <c r="AQ24" s="529">
        <v>45889</v>
      </c>
      <c r="AR24" s="529">
        <v>48681</v>
      </c>
      <c r="AS24" s="529">
        <v>44694</v>
      </c>
      <c r="AT24" s="529">
        <v>46083</v>
      </c>
      <c r="AU24" s="86"/>
      <c r="AV24" s="85"/>
    </row>
    <row r="25" spans="1:48" s="206" customFormat="1" ht="15" customHeight="1" x14ac:dyDescent="0.2">
      <c r="A25" s="136" t="str">
        <f>IF(Contents!$A$1=2,"High-octane gasoline (Premium)","Бензин (АИ-95) ")</f>
        <v xml:space="preserve">Бензин (АИ-95) </v>
      </c>
      <c r="B25" s="271" t="str">
        <f>IF(Contents!$A$1=2,"RUB/t","руб./т")</f>
        <v>руб./т</v>
      </c>
      <c r="C25" s="123"/>
      <c r="D25" s="529">
        <v>32050</v>
      </c>
      <c r="E25" s="528"/>
      <c r="F25" s="529">
        <v>29766.95</v>
      </c>
      <c r="G25" s="529">
        <v>33016</v>
      </c>
      <c r="H25" s="529">
        <v>36808</v>
      </c>
      <c r="I25" s="529">
        <v>34858.76</v>
      </c>
      <c r="J25" s="529">
        <v>33612</v>
      </c>
      <c r="K25" s="528"/>
      <c r="L25" s="529">
        <v>33497.18</v>
      </c>
      <c r="M25" s="529">
        <v>35777</v>
      </c>
      <c r="N25" s="529">
        <v>36582</v>
      </c>
      <c r="O25" s="529">
        <v>36109</v>
      </c>
      <c r="P25" s="529">
        <v>35491</v>
      </c>
      <c r="Q25" s="528"/>
      <c r="R25" s="529">
        <v>35233</v>
      </c>
      <c r="S25" s="529">
        <v>37069</v>
      </c>
      <c r="T25" s="529">
        <v>37987</v>
      </c>
      <c r="U25" s="529">
        <v>37754</v>
      </c>
      <c r="V25" s="529">
        <v>37011</v>
      </c>
      <c r="W25" s="528"/>
      <c r="X25" s="529">
        <v>36192</v>
      </c>
      <c r="Y25" s="529">
        <v>43778</v>
      </c>
      <c r="Z25" s="529">
        <v>42260</v>
      </c>
      <c r="AA25" s="529">
        <v>45791</v>
      </c>
      <c r="AB25" s="529">
        <v>42005</v>
      </c>
      <c r="AC25" s="528"/>
      <c r="AD25" s="529">
        <v>36924</v>
      </c>
      <c r="AE25" s="529">
        <v>41886</v>
      </c>
      <c r="AF25" s="529">
        <v>43146</v>
      </c>
      <c r="AG25" s="529">
        <v>39993</v>
      </c>
      <c r="AH25" s="529">
        <v>40487</v>
      </c>
      <c r="AI25" s="528"/>
      <c r="AJ25" s="529">
        <v>41431</v>
      </c>
      <c r="AK25" s="529">
        <v>40799</v>
      </c>
      <c r="AL25" s="529">
        <v>44292</v>
      </c>
      <c r="AM25" s="529">
        <v>40944</v>
      </c>
      <c r="AN25" s="529">
        <v>41866</v>
      </c>
      <c r="AO25" s="528"/>
      <c r="AP25" s="529">
        <v>47375</v>
      </c>
      <c r="AQ25" s="529">
        <v>47847</v>
      </c>
      <c r="AR25" s="529">
        <v>50556</v>
      </c>
      <c r="AS25" s="529">
        <v>45653</v>
      </c>
      <c r="AT25" s="529">
        <v>47858</v>
      </c>
      <c r="AU25" s="86"/>
      <c r="AV25" s="85"/>
    </row>
    <row r="26" spans="1:48" s="384" customFormat="1" ht="15" customHeight="1" x14ac:dyDescent="0.2">
      <c r="A26" s="136" t="str">
        <f>IF(Contents!$A$1=2,"Fuel oil","Мазут топочный ")</f>
        <v xml:space="preserve">Мазут топочный </v>
      </c>
      <c r="B26" s="280" t="str">
        <f>IF(Contents!$A$1=2,"RUB/t","руб./т")</f>
        <v>руб./т</v>
      </c>
      <c r="C26" s="377"/>
      <c r="D26" s="491">
        <v>9342</v>
      </c>
      <c r="E26" s="491"/>
      <c r="F26" s="491">
        <v>6384.18</v>
      </c>
      <c r="G26" s="491">
        <v>7415</v>
      </c>
      <c r="H26" s="491">
        <v>7352</v>
      </c>
      <c r="I26" s="491">
        <v>5265.54</v>
      </c>
      <c r="J26" s="491">
        <v>6604</v>
      </c>
      <c r="K26" s="491"/>
      <c r="L26" s="491">
        <v>4555.08</v>
      </c>
      <c r="M26" s="491">
        <v>6794</v>
      </c>
      <c r="N26" s="491">
        <v>8446</v>
      </c>
      <c r="O26" s="491">
        <v>10304</v>
      </c>
      <c r="P26" s="491">
        <v>7525</v>
      </c>
      <c r="Q26" s="491"/>
      <c r="R26" s="491">
        <v>9682</v>
      </c>
      <c r="S26" s="491">
        <v>9025</v>
      </c>
      <c r="T26" s="491">
        <v>11151</v>
      </c>
      <c r="U26" s="491">
        <v>12168</v>
      </c>
      <c r="V26" s="491">
        <v>10507</v>
      </c>
      <c r="W26" s="491"/>
      <c r="X26" s="491">
        <v>11928</v>
      </c>
      <c r="Y26" s="491">
        <v>15459</v>
      </c>
      <c r="Z26" s="491">
        <v>18439</v>
      </c>
      <c r="AA26" s="491">
        <v>25162</v>
      </c>
      <c r="AB26" s="491">
        <v>17747</v>
      </c>
      <c r="AC26" s="491"/>
      <c r="AD26" s="491">
        <v>16014</v>
      </c>
      <c r="AE26" s="491">
        <v>16855</v>
      </c>
      <c r="AF26" s="491">
        <v>15063</v>
      </c>
      <c r="AG26" s="491">
        <v>10125</v>
      </c>
      <c r="AH26" s="491">
        <v>14514</v>
      </c>
      <c r="AI26" s="491"/>
      <c r="AJ26" s="491">
        <v>11958</v>
      </c>
      <c r="AK26" s="491">
        <v>7486</v>
      </c>
      <c r="AL26" s="491">
        <v>10625</v>
      </c>
      <c r="AM26" s="491">
        <v>13889</v>
      </c>
      <c r="AN26" s="491">
        <v>10990</v>
      </c>
      <c r="AO26" s="491"/>
      <c r="AP26" s="491">
        <v>20194</v>
      </c>
      <c r="AQ26" s="491">
        <v>21097</v>
      </c>
      <c r="AR26" s="491">
        <v>23139</v>
      </c>
      <c r="AS26" s="491">
        <v>26014</v>
      </c>
      <c r="AT26" s="491">
        <v>22611</v>
      </c>
      <c r="AU26" s="336"/>
    </row>
    <row r="27" spans="1:48" s="206" customFormat="1" ht="15" customHeight="1" x14ac:dyDescent="0.2">
      <c r="A27" s="61" t="str">
        <f>IF(Contents!$A$1=2,"Source: InfoTEK (excluding VAT)","Источник: ИнфоТЭК (без НДС)")</f>
        <v>Источник: ИнфоТЭК (без НДС)</v>
      </c>
      <c r="B27" s="275"/>
      <c r="C27" s="11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</row>
    <row r="28" spans="1:48" s="384" customFormat="1" ht="15" customHeight="1" x14ac:dyDescent="0.2">
      <c r="A28" s="136"/>
      <c r="B28" s="280"/>
      <c r="C28" s="377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</row>
    <row r="29" spans="1:48" ht="15" customHeight="1" x14ac:dyDescent="0.2">
      <c r="A29" s="39" t="str">
        <f>IF(Contents!$A$1=2,"Changes in ruble exchange rate and inflation","Обменный курс рубля и темпы инфляции")</f>
        <v>Обменный курс рубля и темпы инфляции</v>
      </c>
      <c r="B29" s="61"/>
      <c r="C29" s="5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8" ht="15" customHeight="1" x14ac:dyDescent="0.25">
      <c r="A30" s="129"/>
      <c r="B30" s="61"/>
      <c r="C30" s="5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8" ht="15" customHeight="1" x14ac:dyDescent="0.2">
      <c r="A31" s="75"/>
      <c r="B31" s="313"/>
      <c r="C31" s="16"/>
      <c r="D31" s="97">
        <v>2014</v>
      </c>
      <c r="E31" s="77"/>
      <c r="F31" s="98" t="str">
        <f>IF(Contents!$A$1=2,"1Q","1 кв")</f>
        <v>1 кв</v>
      </c>
      <c r="G31" s="98" t="str">
        <f>IF(Contents!$A$1=2,"2Q","2 кв")</f>
        <v>2 кв</v>
      </c>
      <c r="H31" s="98" t="str">
        <f>IF(Contents!$A$1=2,"3Q","3 кв")</f>
        <v>3 кв</v>
      </c>
      <c r="I31" s="98" t="str">
        <f>IF(Contents!$A$1=2,"4Q","4 кв")</f>
        <v>4 кв</v>
      </c>
      <c r="J31" s="97">
        <v>2015</v>
      </c>
      <c r="K31" s="77"/>
      <c r="L31" s="98" t="str">
        <f>IF(Contents!$A$1=2,"1Q","1 кв")</f>
        <v>1 кв</v>
      </c>
      <c r="M31" s="98" t="str">
        <f>IF(Contents!$A$1=2,"2Q","2 кв")</f>
        <v>2 кв</v>
      </c>
      <c r="N31" s="98" t="str">
        <f>IF(Contents!$A$1=2,"3Q","3 кв")</f>
        <v>3 кв</v>
      </c>
      <c r="O31" s="98" t="str">
        <f>IF(Contents!$A$1=2,"4Q","4 кв")</f>
        <v>4 кв</v>
      </c>
      <c r="P31" s="97">
        <v>2016</v>
      </c>
      <c r="Q31" s="77"/>
      <c r="R31" s="98" t="str">
        <f>IF(Contents!$A$1=2,"1Q","1 кв")</f>
        <v>1 кв</v>
      </c>
      <c r="S31" s="98" t="str">
        <f>IF(Contents!$A$1=2,"2Q","2 кв")</f>
        <v>2 кв</v>
      </c>
      <c r="T31" s="98" t="str">
        <f>IF(Contents!$A$1=2,"3Q","3 кв")</f>
        <v>3 кв</v>
      </c>
      <c r="U31" s="98" t="str">
        <f>IF(Contents!$A$1=2,"4Q","4 кв")</f>
        <v>4 кв</v>
      </c>
      <c r="V31" s="149">
        <v>2017</v>
      </c>
      <c r="W31" s="351"/>
      <c r="X31" s="98" t="str">
        <f>IF(Contents!$A$1=2,"1Q","1 кв")</f>
        <v>1 кв</v>
      </c>
      <c r="Y31" s="98" t="str">
        <f>IF(Contents!$A$1=2,"2Q","2 кв")</f>
        <v>2 кв</v>
      </c>
      <c r="Z31" s="98" t="str">
        <f>IF(Contents!$A$1=2,"3Q","3 кв")</f>
        <v>3 кв</v>
      </c>
      <c r="AA31" s="98" t="str">
        <f>IF(Contents!$A$1=2,"4Q","4 кв")</f>
        <v>4 кв</v>
      </c>
      <c r="AB31" s="149">
        <v>2018</v>
      </c>
      <c r="AC31" s="351"/>
      <c r="AD31" s="98" t="str">
        <f>IF(Contents!$A$1=2,"1Q","1 кв")</f>
        <v>1 кв</v>
      </c>
      <c r="AE31" s="98" t="str">
        <f>IF(Contents!$A$1=2,"2Q","2 кв")</f>
        <v>2 кв</v>
      </c>
      <c r="AF31" s="98" t="str">
        <f>IF(Contents!$A$1=2,"3Q","3 кв")</f>
        <v>3 кв</v>
      </c>
      <c r="AG31" s="98" t="str">
        <f>IF(Contents!$A$1=2,"4Q","4 кв")</f>
        <v>4 кв</v>
      </c>
      <c r="AH31" s="149">
        <v>2019</v>
      </c>
      <c r="AI31" s="351"/>
      <c r="AJ31" s="98" t="str">
        <f>IF(Contents!$A$1=2,"1Q","1 кв")</f>
        <v>1 кв</v>
      </c>
      <c r="AK31" s="98" t="str">
        <f>IF(Contents!$A$1=2,"2Q","2 кв")</f>
        <v>2 кв</v>
      </c>
      <c r="AL31" s="98" t="str">
        <f>IF(Contents!$A$1=2,"3Q","3 кв")</f>
        <v>3 кв</v>
      </c>
      <c r="AM31" s="98" t="str">
        <f>IF(Contents!$A$1=2,"4Q","4 кв")</f>
        <v>4 кв</v>
      </c>
      <c r="AN31" s="149">
        <v>2020</v>
      </c>
      <c r="AO31" s="351"/>
      <c r="AP31" s="325" t="str">
        <f>IF(Contents!$A$1=2,"1Q","1 кв")</f>
        <v>1 кв</v>
      </c>
      <c r="AQ31" s="325" t="str">
        <f>IF(Contents!$A$1=2,"2Q","2 кв")</f>
        <v>2 кв</v>
      </c>
      <c r="AR31" s="325" t="str">
        <f>IF(Contents!$A$1=2,"3Q","3 кв")</f>
        <v>3 кв</v>
      </c>
      <c r="AS31" s="325" t="str">
        <f>IF(Contents!$A$1=2,"4Q","4 кв")</f>
        <v>4 кв</v>
      </c>
      <c r="AT31" s="326">
        <v>2021</v>
      </c>
      <c r="AU31" s="11"/>
    </row>
    <row r="32" spans="1:48" ht="15" customHeight="1" x14ac:dyDescent="0.2">
      <c r="A32" s="136" t="str">
        <f>IF(Contents!$A$1=2,"Ruble inflation (CPI), %","Рублёвая инфляция (ИПЦ), % ")</f>
        <v xml:space="preserve">Рублёвая инфляция (ИПЦ), % </v>
      </c>
      <c r="B32" s="316" t="s">
        <v>5</v>
      </c>
      <c r="C32" s="127"/>
      <c r="D32" s="548">
        <v>11.4</v>
      </c>
      <c r="E32" s="549"/>
      <c r="F32" s="548">
        <v>7.4</v>
      </c>
      <c r="G32" s="548">
        <v>1</v>
      </c>
      <c r="H32" s="548">
        <v>1.7</v>
      </c>
      <c r="I32" s="548">
        <v>1.5</v>
      </c>
      <c r="J32" s="548">
        <v>12</v>
      </c>
      <c r="K32" s="549"/>
      <c r="L32" s="548">
        <v>2.1</v>
      </c>
      <c r="M32" s="548">
        <v>1.2</v>
      </c>
      <c r="N32" s="548">
        <v>0.8</v>
      </c>
      <c r="O32" s="548">
        <v>1.3</v>
      </c>
      <c r="P32" s="548">
        <v>5.4</v>
      </c>
      <c r="Q32" s="539"/>
      <c r="R32" s="548">
        <v>1</v>
      </c>
      <c r="S32" s="548">
        <v>0.7</v>
      </c>
      <c r="T32" s="548">
        <v>-0.6</v>
      </c>
      <c r="U32" s="548">
        <v>0.8</v>
      </c>
      <c r="V32" s="548">
        <v>2.5</v>
      </c>
      <c r="W32" s="539"/>
      <c r="X32" s="548">
        <v>0.8</v>
      </c>
      <c r="Y32" s="548">
        <v>1.3</v>
      </c>
      <c r="Z32" s="548">
        <v>0.4</v>
      </c>
      <c r="AA32" s="548">
        <v>1.7</v>
      </c>
      <c r="AB32" s="548">
        <v>4.2</v>
      </c>
      <c r="AC32" s="539"/>
      <c r="AD32" s="548">
        <v>1.8</v>
      </c>
      <c r="AE32" s="548">
        <v>0.7</v>
      </c>
      <c r="AF32" s="548">
        <v>-0.2</v>
      </c>
      <c r="AG32" s="548">
        <v>0.8</v>
      </c>
      <c r="AH32" s="548">
        <v>3</v>
      </c>
      <c r="AI32" s="539"/>
      <c r="AJ32" s="548">
        <v>1.3</v>
      </c>
      <c r="AK32" s="548">
        <v>1.3</v>
      </c>
      <c r="AL32" s="548">
        <v>0.2</v>
      </c>
      <c r="AM32" s="548">
        <v>2</v>
      </c>
      <c r="AN32" s="548">
        <v>4.9000000000000004</v>
      </c>
      <c r="AO32" s="539"/>
      <c r="AP32" s="548">
        <v>2.1</v>
      </c>
      <c r="AQ32" s="548">
        <v>2</v>
      </c>
      <c r="AR32" s="548">
        <v>1.1000000000000001</v>
      </c>
      <c r="AS32" s="548">
        <v>2.9</v>
      </c>
      <c r="AT32" s="548">
        <v>8.4</v>
      </c>
      <c r="AU32" s="11"/>
    </row>
    <row r="33" spans="1:47" ht="15" customHeight="1" x14ac:dyDescent="0.2">
      <c r="A33" s="136" t="str">
        <f>IF(Contents!$A$1=2,"Ruble to US dollar exchange rate","Обменный курс рубля к долл. США")</f>
        <v>Обменный курс рубля к долл. США</v>
      </c>
      <c r="B33" s="271"/>
      <c r="C33" s="123"/>
      <c r="D33" s="550"/>
      <c r="E33" s="539"/>
      <c r="F33" s="550"/>
      <c r="G33" s="550"/>
      <c r="H33" s="550"/>
      <c r="I33" s="550"/>
      <c r="J33" s="550"/>
      <c r="K33" s="539"/>
      <c r="L33" s="550"/>
      <c r="M33" s="550"/>
      <c r="N33" s="550"/>
      <c r="O33" s="550"/>
      <c r="P33" s="550"/>
      <c r="Q33" s="539"/>
      <c r="R33" s="550"/>
      <c r="S33" s="550"/>
      <c r="T33" s="550"/>
      <c r="U33" s="550"/>
      <c r="V33" s="550"/>
      <c r="W33" s="539"/>
      <c r="X33" s="550"/>
      <c r="Y33" s="550"/>
      <c r="Z33" s="550"/>
      <c r="AA33" s="550"/>
      <c r="AB33" s="550"/>
      <c r="AC33" s="539"/>
      <c r="AD33" s="550"/>
      <c r="AE33" s="550"/>
      <c r="AF33" s="550"/>
      <c r="AG33" s="550"/>
      <c r="AH33" s="550"/>
      <c r="AI33" s="539"/>
      <c r="AJ33" s="550"/>
      <c r="AK33" s="550"/>
      <c r="AL33" s="550"/>
      <c r="AM33" s="550"/>
      <c r="AN33" s="550"/>
      <c r="AO33" s="539"/>
      <c r="AP33" s="550"/>
      <c r="AQ33" s="550"/>
      <c r="AR33" s="550"/>
      <c r="AS33" s="550"/>
      <c r="AT33" s="550"/>
      <c r="AU33" s="11"/>
    </row>
    <row r="34" spans="1:47" ht="15" customHeight="1" x14ac:dyDescent="0.2">
      <c r="A34" s="84" t="str">
        <f>IF(Contents!$A$1=2,"Average for the period","средний за период")</f>
        <v>средний за период</v>
      </c>
      <c r="B34" s="271" t="str">
        <f>IF(Contents!$A$1=2,"RUB/USD","руб./USD")</f>
        <v>руб./USD</v>
      </c>
      <c r="C34" s="123"/>
      <c r="D34" s="550">
        <v>38.4</v>
      </c>
      <c r="E34" s="539"/>
      <c r="F34" s="550">
        <v>62.2</v>
      </c>
      <c r="G34" s="550">
        <v>52.7</v>
      </c>
      <c r="H34" s="550">
        <v>63</v>
      </c>
      <c r="I34" s="550">
        <v>65.943399999999997</v>
      </c>
      <c r="J34" s="550">
        <v>61</v>
      </c>
      <c r="K34" s="539"/>
      <c r="L34" s="550">
        <v>74.599999999999994</v>
      </c>
      <c r="M34" s="550">
        <v>65.900000000000006</v>
      </c>
      <c r="N34" s="550">
        <v>64.599999999999994</v>
      </c>
      <c r="O34" s="550">
        <v>63.0685</v>
      </c>
      <c r="P34" s="550">
        <v>67</v>
      </c>
      <c r="Q34" s="539"/>
      <c r="R34" s="550">
        <v>58.8</v>
      </c>
      <c r="S34" s="550">
        <v>57.1</v>
      </c>
      <c r="T34" s="550">
        <v>59</v>
      </c>
      <c r="U34" s="550">
        <v>58.4</v>
      </c>
      <c r="V34" s="550">
        <v>58.4</v>
      </c>
      <c r="W34" s="539"/>
      <c r="X34" s="550">
        <v>56.9</v>
      </c>
      <c r="Y34" s="550">
        <v>61.8</v>
      </c>
      <c r="Z34" s="550">
        <v>65.5</v>
      </c>
      <c r="AA34" s="550">
        <v>66.5</v>
      </c>
      <c r="AB34" s="550">
        <v>62.7</v>
      </c>
      <c r="AC34" s="539"/>
      <c r="AD34" s="550">
        <v>66.099999999999994</v>
      </c>
      <c r="AE34" s="550">
        <v>64.599999999999994</v>
      </c>
      <c r="AF34" s="550">
        <v>64.599999999999994</v>
      </c>
      <c r="AG34" s="550">
        <v>63.7</v>
      </c>
      <c r="AH34" s="550">
        <v>64.7</v>
      </c>
      <c r="AI34" s="539"/>
      <c r="AJ34" s="550">
        <v>66.400000000000006</v>
      </c>
      <c r="AK34" s="550">
        <v>72.400000000000006</v>
      </c>
      <c r="AL34" s="550">
        <v>73.599999999999994</v>
      </c>
      <c r="AM34" s="550">
        <v>76.2</v>
      </c>
      <c r="AN34" s="550">
        <v>72.150000000000006</v>
      </c>
      <c r="AO34" s="539"/>
      <c r="AP34" s="550">
        <v>74.34</v>
      </c>
      <c r="AQ34" s="550">
        <v>74.22</v>
      </c>
      <c r="AR34" s="550">
        <v>73.47</v>
      </c>
      <c r="AS34" s="550">
        <v>72.61</v>
      </c>
      <c r="AT34" s="550">
        <v>73.650000000000006</v>
      </c>
      <c r="AU34" s="11"/>
    </row>
    <row r="35" spans="1:47" ht="15" customHeight="1" x14ac:dyDescent="0.2">
      <c r="A35" s="84" t="str">
        <f>IF(Contents!$A$1=2,"At the beginning of the period","на начало периода")</f>
        <v>на начало периода</v>
      </c>
      <c r="B35" s="271" t="str">
        <f>IF(Contents!$A$1=2,"RUB/USD","руб./USD")</f>
        <v>руб./USD</v>
      </c>
      <c r="C35" s="123"/>
      <c r="D35" s="550">
        <v>32.700000000000003</v>
      </c>
      <c r="E35" s="539"/>
      <c r="F35" s="547">
        <v>0</v>
      </c>
      <c r="G35" s="550">
        <v>58.5</v>
      </c>
      <c r="H35" s="550">
        <v>55.5</v>
      </c>
      <c r="I35" s="550">
        <v>66.236699999999999</v>
      </c>
      <c r="J35" s="550">
        <v>56.3</v>
      </c>
      <c r="K35" s="539"/>
      <c r="L35" s="550">
        <v>72.900000000000006</v>
      </c>
      <c r="M35" s="550">
        <v>67.599999999999994</v>
      </c>
      <c r="N35" s="550">
        <v>64.3</v>
      </c>
      <c r="O35" s="550">
        <v>63.158099999999997</v>
      </c>
      <c r="P35" s="550">
        <v>72.900000000000006</v>
      </c>
      <c r="Q35" s="539"/>
      <c r="R35" s="550">
        <v>60.7</v>
      </c>
      <c r="S35" s="550">
        <v>56.4</v>
      </c>
      <c r="T35" s="550">
        <v>59.1</v>
      </c>
      <c r="U35" s="550">
        <v>58</v>
      </c>
      <c r="V35" s="550">
        <v>60.7</v>
      </c>
      <c r="W35" s="539"/>
      <c r="X35" s="550">
        <v>57.6</v>
      </c>
      <c r="Y35" s="550">
        <v>57.3</v>
      </c>
      <c r="Z35" s="550">
        <v>62.8</v>
      </c>
      <c r="AA35" s="550">
        <v>65.599999999999994</v>
      </c>
      <c r="AB35" s="550">
        <v>57.6</v>
      </c>
      <c r="AC35" s="539"/>
      <c r="AD35" s="550">
        <v>69.5</v>
      </c>
      <c r="AE35" s="550">
        <v>64.7</v>
      </c>
      <c r="AF35" s="550">
        <v>63.1</v>
      </c>
      <c r="AG35" s="550">
        <v>64.400000000000006</v>
      </c>
      <c r="AH35" s="550">
        <v>69.5</v>
      </c>
      <c r="AI35" s="539"/>
      <c r="AJ35" s="550">
        <v>61.9</v>
      </c>
      <c r="AK35" s="550">
        <v>77.7</v>
      </c>
      <c r="AL35" s="550">
        <v>70</v>
      </c>
      <c r="AM35" s="550">
        <v>79.7</v>
      </c>
      <c r="AN35" s="550">
        <v>61.91</v>
      </c>
      <c r="AO35" s="539"/>
      <c r="AP35" s="550">
        <v>73.88</v>
      </c>
      <c r="AQ35" s="550">
        <v>75.7</v>
      </c>
      <c r="AR35" s="550">
        <v>72.37</v>
      </c>
      <c r="AS35" s="550">
        <v>72.760000000000005</v>
      </c>
      <c r="AT35" s="550">
        <v>73.88</v>
      </c>
      <c r="AU35" s="11"/>
    </row>
    <row r="36" spans="1:47" ht="15" customHeight="1" x14ac:dyDescent="0.2">
      <c r="A36" s="84" t="str">
        <f>IF(Contents!$A$1=2,"At the end of the period","на конец периода")</f>
        <v>на конец периода</v>
      </c>
      <c r="B36" s="271" t="str">
        <f>IF(Contents!$A$1=2,"RUB/USD","руб./USD")</f>
        <v>руб./USD</v>
      </c>
      <c r="C36" s="123"/>
      <c r="D36" s="550">
        <v>56.3</v>
      </c>
      <c r="E36" s="539"/>
      <c r="F36" s="550">
        <v>58.5</v>
      </c>
      <c r="G36" s="550">
        <v>55.5</v>
      </c>
      <c r="H36" s="550">
        <v>66.2</v>
      </c>
      <c r="I36" s="550">
        <v>72.8827</v>
      </c>
      <c r="J36" s="550">
        <v>72.900000000000006</v>
      </c>
      <c r="K36" s="539"/>
      <c r="L36" s="550">
        <v>67.599999999999994</v>
      </c>
      <c r="M36" s="550">
        <v>64.3</v>
      </c>
      <c r="N36" s="550">
        <v>63.2</v>
      </c>
      <c r="O36" s="550">
        <v>60.6569</v>
      </c>
      <c r="P36" s="550">
        <v>60.7</v>
      </c>
      <c r="Q36" s="539"/>
      <c r="R36" s="550">
        <v>56.4</v>
      </c>
      <c r="S36" s="550">
        <v>59.1</v>
      </c>
      <c r="T36" s="550">
        <v>58</v>
      </c>
      <c r="U36" s="550">
        <v>57.6</v>
      </c>
      <c r="V36" s="550">
        <v>57.6</v>
      </c>
      <c r="W36" s="539"/>
      <c r="X36" s="550">
        <v>57.3</v>
      </c>
      <c r="Y36" s="550">
        <v>62.8</v>
      </c>
      <c r="Z36" s="550">
        <v>65.599999999999994</v>
      </c>
      <c r="AA36" s="550">
        <v>69.5</v>
      </c>
      <c r="AB36" s="550">
        <v>69.5</v>
      </c>
      <c r="AC36" s="539"/>
      <c r="AD36" s="550">
        <v>64.7</v>
      </c>
      <c r="AE36" s="550">
        <v>63.1</v>
      </c>
      <c r="AF36" s="550">
        <v>64.400000000000006</v>
      </c>
      <c r="AG36" s="550">
        <v>61.9</v>
      </c>
      <c r="AH36" s="550">
        <v>61.9</v>
      </c>
      <c r="AI36" s="539"/>
      <c r="AJ36" s="550">
        <v>77.7</v>
      </c>
      <c r="AK36" s="550">
        <v>70</v>
      </c>
      <c r="AL36" s="550">
        <v>79.7</v>
      </c>
      <c r="AM36" s="550">
        <v>73.900000000000006</v>
      </c>
      <c r="AN36" s="550">
        <v>73.88</v>
      </c>
      <c r="AO36" s="539"/>
      <c r="AP36" s="550">
        <v>75.7</v>
      </c>
      <c r="AQ36" s="550">
        <v>72.37</v>
      </c>
      <c r="AR36" s="550">
        <v>72.760000000000005</v>
      </c>
      <c r="AS36" s="550">
        <v>74.290000000000006</v>
      </c>
      <c r="AT36" s="550">
        <v>74.290000000000006</v>
      </c>
      <c r="AU36" s="11"/>
    </row>
    <row r="37" spans="1:47" ht="15" customHeight="1" x14ac:dyDescent="0.2">
      <c r="A37" s="136" t="str">
        <f>IF(Contents!$A$1=2,"Ruble to euro exchange rate","Обменный курс рубля к евро")</f>
        <v>Обменный курс рубля к евро</v>
      </c>
      <c r="B37" s="271"/>
      <c r="C37" s="123"/>
      <c r="D37" s="550"/>
      <c r="E37" s="539"/>
      <c r="F37" s="550"/>
      <c r="G37" s="550"/>
      <c r="H37" s="550"/>
      <c r="I37" s="550"/>
      <c r="J37" s="550"/>
      <c r="K37" s="539"/>
      <c r="L37" s="550"/>
      <c r="M37" s="550"/>
      <c r="N37" s="550"/>
      <c r="O37" s="550"/>
      <c r="P37" s="550"/>
      <c r="Q37" s="539"/>
      <c r="R37" s="550"/>
      <c r="S37" s="550"/>
      <c r="T37" s="550"/>
      <c r="U37" s="550"/>
      <c r="V37" s="550"/>
      <c r="W37" s="539"/>
      <c r="X37" s="550"/>
      <c r="Y37" s="550"/>
      <c r="Z37" s="550"/>
      <c r="AA37" s="550"/>
      <c r="AB37" s="550"/>
      <c r="AC37" s="539"/>
      <c r="AD37" s="550"/>
      <c r="AE37" s="550"/>
      <c r="AF37" s="550"/>
      <c r="AG37" s="550"/>
      <c r="AH37" s="550"/>
      <c r="AI37" s="539"/>
      <c r="AJ37" s="550"/>
      <c r="AK37" s="550"/>
      <c r="AL37" s="550"/>
      <c r="AM37" s="550"/>
      <c r="AN37" s="550"/>
      <c r="AO37" s="539"/>
      <c r="AP37" s="550"/>
      <c r="AQ37" s="550"/>
      <c r="AR37" s="550"/>
      <c r="AS37" s="550"/>
      <c r="AT37" s="550"/>
      <c r="AU37" s="11"/>
    </row>
    <row r="38" spans="1:47" ht="15" customHeight="1" x14ac:dyDescent="0.2">
      <c r="A38" s="84" t="str">
        <f>IF(Contents!$A$1=2,"Average for the period","средний за период")</f>
        <v>средний за период</v>
      </c>
      <c r="B38" s="271" t="str">
        <f>IF(Contents!$A$1=2,"RUB/EURO","руб./евро")</f>
        <v>руб./евро</v>
      </c>
      <c r="C38" s="123"/>
      <c r="D38" s="550">
        <v>50.8</v>
      </c>
      <c r="E38" s="539"/>
      <c r="F38" s="550">
        <v>70.400000000000006</v>
      </c>
      <c r="G38" s="550">
        <v>58.2</v>
      </c>
      <c r="H38" s="550">
        <v>70.099999999999994</v>
      </c>
      <c r="I38" s="550">
        <v>72.272265217391308</v>
      </c>
      <c r="J38" s="550">
        <v>67.8</v>
      </c>
      <c r="K38" s="539"/>
      <c r="L38" s="550">
        <v>82.3</v>
      </c>
      <c r="M38" s="550">
        <v>74.400000000000006</v>
      </c>
      <c r="N38" s="550">
        <v>72.2</v>
      </c>
      <c r="O38" s="550">
        <v>68.126999999999995</v>
      </c>
      <c r="P38" s="550">
        <v>74.2</v>
      </c>
      <c r="Q38" s="539"/>
      <c r="R38" s="550">
        <v>62.6</v>
      </c>
      <c r="S38" s="550">
        <v>62.8</v>
      </c>
      <c r="T38" s="550">
        <v>69.3</v>
      </c>
      <c r="U38" s="550">
        <v>68.8</v>
      </c>
      <c r="V38" s="550">
        <v>65.900000000000006</v>
      </c>
      <c r="W38" s="539"/>
      <c r="X38" s="550">
        <v>69.900000000000006</v>
      </c>
      <c r="Y38" s="550">
        <v>73.8</v>
      </c>
      <c r="Z38" s="550">
        <v>76.2</v>
      </c>
      <c r="AA38" s="550">
        <v>75.900000000000006</v>
      </c>
      <c r="AB38" s="550">
        <v>74</v>
      </c>
      <c r="AC38" s="539"/>
      <c r="AD38" s="550">
        <v>75.2</v>
      </c>
      <c r="AE38" s="550">
        <v>72.5</v>
      </c>
      <c r="AF38" s="550">
        <v>71.8</v>
      </c>
      <c r="AG38" s="550">
        <v>70.5</v>
      </c>
      <c r="AH38" s="550">
        <v>72.5</v>
      </c>
      <c r="AI38" s="539"/>
      <c r="AJ38" s="550">
        <v>73.2</v>
      </c>
      <c r="AK38" s="550">
        <v>79.599999999999994</v>
      </c>
      <c r="AL38" s="550">
        <v>86</v>
      </c>
      <c r="AM38" s="550">
        <v>90.8</v>
      </c>
      <c r="AN38" s="550">
        <v>82.45</v>
      </c>
      <c r="AO38" s="539"/>
      <c r="AP38" s="550">
        <v>89.7</v>
      </c>
      <c r="AQ38" s="550">
        <v>89.39</v>
      </c>
      <c r="AR38" s="550">
        <v>86.66</v>
      </c>
      <c r="AS38" s="550">
        <v>83.07</v>
      </c>
      <c r="AT38" s="550">
        <v>87.19</v>
      </c>
      <c r="AU38" s="11"/>
    </row>
    <row r="39" spans="1:47" ht="15" customHeight="1" x14ac:dyDescent="0.2">
      <c r="A39" s="84" t="str">
        <f>IF(Contents!$A$1=2,"At the beginning of the period","на начало периода")</f>
        <v>на начало периода</v>
      </c>
      <c r="B39" s="271" t="str">
        <f>IF(Contents!$A$1=2,"RUB/EURO","руб./евро")</f>
        <v>руб./евро</v>
      </c>
      <c r="C39" s="123"/>
      <c r="D39" s="550">
        <v>45</v>
      </c>
      <c r="E39" s="539"/>
      <c r="F39" s="547">
        <v>0</v>
      </c>
      <c r="G39" s="550">
        <v>63.4</v>
      </c>
      <c r="H39" s="550">
        <v>61.5</v>
      </c>
      <c r="I39" s="550">
        <v>74.582499999999996</v>
      </c>
      <c r="J39" s="550">
        <v>68.3</v>
      </c>
      <c r="K39" s="539"/>
      <c r="L39" s="550">
        <v>79.7</v>
      </c>
      <c r="M39" s="550">
        <v>76.5</v>
      </c>
      <c r="N39" s="550">
        <v>71.2</v>
      </c>
      <c r="O39" s="550">
        <v>70.882300000000001</v>
      </c>
      <c r="P39" s="550">
        <v>79.7</v>
      </c>
      <c r="Q39" s="539"/>
      <c r="R39" s="550">
        <v>63.8</v>
      </c>
      <c r="S39" s="550">
        <v>60.6</v>
      </c>
      <c r="T39" s="550">
        <v>67.5</v>
      </c>
      <c r="U39" s="550">
        <v>68.400000000000006</v>
      </c>
      <c r="V39" s="550">
        <v>63.8</v>
      </c>
      <c r="W39" s="539"/>
      <c r="X39" s="550">
        <v>68.900000000000006</v>
      </c>
      <c r="Y39" s="550">
        <v>70.599999999999994</v>
      </c>
      <c r="Z39" s="550">
        <v>73</v>
      </c>
      <c r="AA39" s="550">
        <v>76.2</v>
      </c>
      <c r="AB39" s="550">
        <v>68.900000000000006</v>
      </c>
      <c r="AC39" s="539"/>
      <c r="AD39" s="550">
        <v>79.5</v>
      </c>
      <c r="AE39" s="550">
        <v>72.7</v>
      </c>
      <c r="AF39" s="550">
        <v>71.8</v>
      </c>
      <c r="AG39" s="550">
        <v>70.3</v>
      </c>
      <c r="AH39" s="550">
        <v>79.5</v>
      </c>
      <c r="AI39" s="539"/>
      <c r="AJ39" s="550">
        <v>69.3</v>
      </c>
      <c r="AK39" s="550">
        <v>85.7</v>
      </c>
      <c r="AL39" s="550">
        <v>78.7</v>
      </c>
      <c r="AM39" s="550">
        <v>93</v>
      </c>
      <c r="AN39" s="550">
        <v>69.34</v>
      </c>
      <c r="AO39" s="539"/>
      <c r="AP39" s="550">
        <v>90.68</v>
      </c>
      <c r="AQ39" s="550">
        <v>88.88</v>
      </c>
      <c r="AR39" s="550">
        <v>86.2</v>
      </c>
      <c r="AS39" s="550">
        <v>84.88</v>
      </c>
      <c r="AT39" s="550">
        <v>90.68</v>
      </c>
      <c r="AU39" s="11"/>
    </row>
    <row r="40" spans="1:47" ht="15" customHeight="1" x14ac:dyDescent="0.2">
      <c r="A40" s="84" t="str">
        <f>IF(Contents!$A$1=2,"At the end of the period","на конец периода")</f>
        <v>на конец периода</v>
      </c>
      <c r="B40" s="271" t="str">
        <f>IF(Contents!$A$1=2,"RUB/EURO","руб./евро")</f>
        <v>руб./евро</v>
      </c>
      <c r="C40" s="123"/>
      <c r="D40" s="550">
        <v>68.3</v>
      </c>
      <c r="E40" s="539"/>
      <c r="F40" s="550">
        <v>63.4</v>
      </c>
      <c r="G40" s="550">
        <v>61.5</v>
      </c>
      <c r="H40" s="550">
        <v>74.599999999999994</v>
      </c>
      <c r="I40" s="550">
        <v>79.697199999999995</v>
      </c>
      <c r="J40" s="550">
        <v>79.7</v>
      </c>
      <c r="K40" s="539"/>
      <c r="L40" s="550">
        <v>76.5</v>
      </c>
      <c r="M40" s="550">
        <v>71.2</v>
      </c>
      <c r="N40" s="550">
        <v>70.900000000000006</v>
      </c>
      <c r="O40" s="550">
        <v>63.811100000000003</v>
      </c>
      <c r="P40" s="550">
        <v>63.8</v>
      </c>
      <c r="Q40" s="539"/>
      <c r="R40" s="550">
        <v>60.6</v>
      </c>
      <c r="S40" s="550">
        <v>67.5</v>
      </c>
      <c r="T40" s="550">
        <v>68.400000000000006</v>
      </c>
      <c r="U40" s="550">
        <v>68.900000000000006</v>
      </c>
      <c r="V40" s="550">
        <v>68.900000000000006</v>
      </c>
      <c r="W40" s="539"/>
      <c r="X40" s="550">
        <v>70.599999999999994</v>
      </c>
      <c r="Y40" s="550">
        <v>73</v>
      </c>
      <c r="Z40" s="550">
        <v>76.2</v>
      </c>
      <c r="AA40" s="550">
        <v>79.5</v>
      </c>
      <c r="AB40" s="550">
        <v>79.5</v>
      </c>
      <c r="AC40" s="539"/>
      <c r="AD40" s="550">
        <v>72.7</v>
      </c>
      <c r="AE40" s="550">
        <v>71.8</v>
      </c>
      <c r="AF40" s="550">
        <v>70.3</v>
      </c>
      <c r="AG40" s="550">
        <v>69.3</v>
      </c>
      <c r="AH40" s="550">
        <v>69.3</v>
      </c>
      <c r="AI40" s="539"/>
      <c r="AJ40" s="550">
        <v>85.7</v>
      </c>
      <c r="AK40" s="550">
        <v>78.7</v>
      </c>
      <c r="AL40" s="550">
        <v>93</v>
      </c>
      <c r="AM40" s="550">
        <v>90.7</v>
      </c>
      <c r="AN40" s="550">
        <v>90.68</v>
      </c>
      <c r="AO40" s="539"/>
      <c r="AP40" s="550">
        <v>88.88</v>
      </c>
      <c r="AQ40" s="550">
        <v>86.2</v>
      </c>
      <c r="AR40" s="550">
        <v>84.88</v>
      </c>
      <c r="AS40" s="550">
        <v>84.07</v>
      </c>
      <c r="AT40" s="550">
        <v>84.07</v>
      </c>
      <c r="AU40" s="11"/>
    </row>
    <row r="41" spans="1:47" s="206" customFormat="1" ht="15" customHeight="1" x14ac:dyDescent="0.2">
      <c r="A41" s="61" t="str">
        <f>IF(Contents!$A$1=2,"Source: CBR, Federal State Statistics Service","Источник: ЦБР, Росстат")</f>
        <v>Источник: ЦБР, Росстат</v>
      </c>
      <c r="B41" s="308"/>
      <c r="C41" s="112"/>
      <c r="D41" s="150"/>
      <c r="E41" s="190"/>
      <c r="F41" s="150"/>
      <c r="G41" s="150"/>
      <c r="H41" s="150"/>
      <c r="I41" s="150"/>
      <c r="J41" s="150"/>
      <c r="K41" s="19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</row>
    <row r="42" spans="1:47" ht="15" customHeight="1" x14ac:dyDescent="0.2">
      <c r="A42" s="49"/>
      <c r="B42" s="49"/>
      <c r="C42" s="5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ht="15" customHeight="1" x14ac:dyDescent="0.2">
      <c r="A43" s="51" t="str">
        <f>IF(Contents!$A$1=2,"Contents","Содержание")</f>
        <v>Содержание</v>
      </c>
      <c r="B43" s="51"/>
    </row>
  </sheetData>
  <conditionalFormatting sqref="A1:C1 A2:W6 A46:W1048576 AC18:AC21 B23:C24 Q23:Q24 K23:K24 E23:E24 A42:AB45 AU31:XFD36 A7:Q22 R8:W21 X8:AU17 A28:XFD30 AC42:XFD1048576 AV1:XFD25 AV37:XFD37 AV41:XFD41 AV27:XFD27 AU26:XFD26">
    <cfRule type="containsText" dxfId="324" priority="321" operator="containsText" text="ложь">
      <formula>NOT(ISERROR(SEARCH("ложь",A1)))</formula>
    </cfRule>
  </conditionalFormatting>
  <conditionalFormatting sqref="D1:Q1">
    <cfRule type="containsText" dxfId="323" priority="317" operator="containsText" text="ложь">
      <formula>NOT(ISERROR(SEARCH("ложь",D1)))</formula>
    </cfRule>
  </conditionalFormatting>
  <conditionalFormatting sqref="D1:Q1">
    <cfRule type="containsText" dxfId="322" priority="316" operator="containsText" text="ложь">
      <formula>NOT(ISERROR(SEARCH("ложь",D1)))</formula>
    </cfRule>
  </conditionalFormatting>
  <conditionalFormatting sqref="D1:Q1">
    <cfRule type="containsText" dxfId="321" priority="315" operator="containsText" text="ложь">
      <formula>NOT(ISERROR(SEARCH("ложь",D1)))</formula>
    </cfRule>
  </conditionalFormatting>
  <conditionalFormatting sqref="D1:Q1">
    <cfRule type="containsText" dxfId="320" priority="314" operator="containsText" text="ложь">
      <formula>NOT(ISERROR(SEARCH("ложь",D1)))</formula>
    </cfRule>
  </conditionalFormatting>
  <conditionalFormatting sqref="R7:W7">
    <cfRule type="containsText" dxfId="319" priority="313" operator="containsText" text="ложь">
      <formula>NOT(ISERROR(SEARCH("ложь",R7)))</formula>
    </cfRule>
  </conditionalFormatting>
  <conditionalFormatting sqref="R1:W1">
    <cfRule type="containsText" dxfId="318" priority="312" operator="containsText" text="ложь">
      <formula>NOT(ISERROR(SEARCH("ложь",R1)))</formula>
    </cfRule>
  </conditionalFormatting>
  <conditionalFormatting sqref="R1:W1">
    <cfRule type="containsText" dxfId="317" priority="311" operator="containsText" text="ложь">
      <formula>NOT(ISERROR(SEARCH("ложь",R1)))</formula>
    </cfRule>
  </conditionalFormatting>
  <conditionalFormatting sqref="R1:W1">
    <cfRule type="containsText" dxfId="316" priority="310" operator="containsText" text="ложь">
      <formula>NOT(ISERROR(SEARCH("ложь",R1)))</formula>
    </cfRule>
  </conditionalFormatting>
  <conditionalFormatting sqref="W23:W24">
    <cfRule type="containsText" dxfId="315" priority="309" operator="containsText" text="ложь">
      <formula>NOT(ISERROR(SEARCH("ложь",W23)))</formula>
    </cfRule>
  </conditionalFormatting>
  <conditionalFormatting sqref="R22:W22">
    <cfRule type="containsText" dxfId="314" priority="308" operator="containsText" text="ложь">
      <formula>NOT(ISERROR(SEARCH("ложь",R22)))</formula>
    </cfRule>
  </conditionalFormatting>
  <conditionalFormatting sqref="X2:AB6 X18:AB21 AT18:AU21 AT2:AU2 X46:AB1048576 AT4:AU6 AU3">
    <cfRule type="containsText" dxfId="313" priority="298" operator="containsText" text="ложь">
      <formula>NOT(ISERROR(SEARCH("ложь",X2)))</formula>
    </cfRule>
  </conditionalFormatting>
  <conditionalFormatting sqref="X7:AB7 AU7">
    <cfRule type="containsText" dxfId="312" priority="297" operator="containsText" text="ложь">
      <formula>NOT(ISERROR(SEARCH("ложь",X7)))</formula>
    </cfRule>
  </conditionalFormatting>
  <conditionalFormatting sqref="X1:AB1 AU1">
    <cfRule type="containsText" dxfId="311" priority="296" operator="containsText" text="ложь">
      <formula>NOT(ISERROR(SEARCH("ложь",X1)))</formula>
    </cfRule>
  </conditionalFormatting>
  <conditionalFormatting sqref="X1:AB1 AU1">
    <cfRule type="containsText" dxfId="310" priority="295" operator="containsText" text="ложь">
      <formula>NOT(ISERROR(SEARCH("ложь",X1)))</formula>
    </cfRule>
  </conditionalFormatting>
  <conditionalFormatting sqref="X1:AB1 AU1">
    <cfRule type="containsText" dxfId="309" priority="294" operator="containsText" text="ложь">
      <formula>NOT(ISERROR(SEARCH("ложь",X1)))</formula>
    </cfRule>
  </conditionalFormatting>
  <conditionalFormatting sqref="AU23:AU24">
    <cfRule type="containsText" dxfId="308" priority="293" operator="containsText" text="ложь">
      <formula>NOT(ISERROR(SEARCH("ложь",AU23)))</formula>
    </cfRule>
  </conditionalFormatting>
  <conditionalFormatting sqref="X22:AB22 AU22">
    <cfRule type="containsText" dxfId="307" priority="292" operator="containsText" text="ложь">
      <formula>NOT(ISERROR(SEARCH("ложь",X22)))</formula>
    </cfRule>
  </conditionalFormatting>
  <conditionalFormatting sqref="AC2:AC6">
    <cfRule type="containsText" dxfId="306" priority="239" operator="containsText" text="ложь">
      <formula>NOT(ISERROR(SEARCH("ложь",AC2)))</formula>
    </cfRule>
  </conditionalFormatting>
  <conditionalFormatting sqref="AC7">
    <cfRule type="containsText" dxfId="305" priority="238" operator="containsText" text="ложь">
      <formula>NOT(ISERROR(SEARCH("ложь",AC7)))</formula>
    </cfRule>
  </conditionalFormatting>
  <conditionalFormatting sqref="AC1">
    <cfRule type="containsText" dxfId="304" priority="237" operator="containsText" text="ложь">
      <formula>NOT(ISERROR(SEARCH("ложь",AC1)))</formula>
    </cfRule>
  </conditionalFormatting>
  <conditionalFormatting sqref="AC1">
    <cfRule type="containsText" dxfId="303" priority="236" operator="containsText" text="ложь">
      <formula>NOT(ISERROR(SEARCH("ложь",AC1)))</formula>
    </cfRule>
  </conditionalFormatting>
  <conditionalFormatting sqref="AC1">
    <cfRule type="containsText" dxfId="302" priority="235" operator="containsText" text="ложь">
      <formula>NOT(ISERROR(SEARCH("ложь",AC1)))</formula>
    </cfRule>
  </conditionalFormatting>
  <conditionalFormatting sqref="AC23:AC24">
    <cfRule type="containsText" dxfId="301" priority="234" operator="containsText" text="ложь">
      <formula>NOT(ISERROR(SEARCH("ложь",AC23)))</formula>
    </cfRule>
  </conditionalFormatting>
  <conditionalFormatting sqref="AC22">
    <cfRule type="containsText" dxfId="300" priority="233" operator="containsText" text="ложь">
      <formula>NOT(ISERROR(SEARCH("ложь",AC22)))</formula>
    </cfRule>
  </conditionalFormatting>
  <conditionalFormatting sqref="AD18:AI21 AD2:AS2 AD4:AS6 AD3:AT3">
    <cfRule type="containsText" dxfId="299" priority="231" operator="containsText" text="ложь">
      <formula>NOT(ISERROR(SEARCH("ложь",AD2)))</formula>
    </cfRule>
  </conditionalFormatting>
  <conditionalFormatting sqref="AD7:AO7">
    <cfRule type="containsText" dxfId="298" priority="230" operator="containsText" text="ложь">
      <formula>NOT(ISERROR(SEARCH("ложь",AD7)))</formula>
    </cfRule>
  </conditionalFormatting>
  <conditionalFormatting sqref="AD1:AO1">
    <cfRule type="containsText" dxfId="297" priority="229" operator="containsText" text="ложь">
      <formula>NOT(ISERROR(SEARCH("ложь",AD1)))</formula>
    </cfRule>
  </conditionalFormatting>
  <conditionalFormatting sqref="AD1:AO1">
    <cfRule type="containsText" dxfId="296" priority="228" operator="containsText" text="ложь">
      <formula>NOT(ISERROR(SEARCH("ложь",AD1)))</formula>
    </cfRule>
  </conditionalFormatting>
  <conditionalFormatting sqref="AD1:AO1">
    <cfRule type="containsText" dxfId="295" priority="227" operator="containsText" text="ложь">
      <formula>NOT(ISERROR(SEARCH("ложь",AD1)))</formula>
    </cfRule>
  </conditionalFormatting>
  <conditionalFormatting sqref="AD22:AI22">
    <cfRule type="containsText" dxfId="294" priority="226" operator="containsText" text="ложь">
      <formula>NOT(ISERROR(SEARCH("ложь",AD22)))</formula>
    </cfRule>
  </conditionalFormatting>
  <conditionalFormatting sqref="AD23:AI24">
    <cfRule type="containsText" dxfId="293" priority="220" operator="containsText" text="ложь">
      <formula>NOT(ISERROR(SEARCH("ложь",AD23)))</formula>
    </cfRule>
  </conditionalFormatting>
  <conditionalFormatting sqref="AJ18:AS21">
    <cfRule type="containsText" dxfId="292" priority="192" operator="containsText" text="ложь">
      <formula>NOT(ISERROR(SEARCH("ложь",AJ18)))</formula>
    </cfRule>
  </conditionalFormatting>
  <conditionalFormatting sqref="AJ22:AO22">
    <cfRule type="containsText" dxfId="291" priority="191" operator="containsText" text="ложь">
      <formula>NOT(ISERROR(SEARCH("ложь",AJ22)))</formula>
    </cfRule>
  </conditionalFormatting>
  <conditionalFormatting sqref="AJ23:AJ24">
    <cfRule type="containsText" dxfId="290" priority="185" operator="containsText" text="ложь">
      <formula>NOT(ISERROR(SEARCH("ложь",AJ23)))</formula>
    </cfRule>
  </conditionalFormatting>
  <conditionalFormatting sqref="A31:Q31 Q32:Q36 K32:K36 E32:E36 B32:C36">
    <cfRule type="containsText" dxfId="289" priority="184" operator="containsText" text="ложь">
      <formula>NOT(ISERROR(SEARCH("ложь",A31)))</formula>
    </cfRule>
  </conditionalFormatting>
  <conditionalFormatting sqref="W32:W36">
    <cfRule type="containsText" dxfId="288" priority="183" operator="containsText" text="ложь">
      <formula>NOT(ISERROR(SEARCH("ложь",W32)))</formula>
    </cfRule>
  </conditionalFormatting>
  <conditionalFormatting sqref="R31:W31">
    <cfRule type="containsText" dxfId="287" priority="182" operator="containsText" text="ложь">
      <formula>NOT(ISERROR(SEARCH("ложь",R31)))</formula>
    </cfRule>
  </conditionalFormatting>
  <conditionalFormatting sqref="X32:AB36">
    <cfRule type="containsText" dxfId="286" priority="181" operator="containsText" text="ложь">
      <formula>NOT(ISERROR(SEARCH("ложь",X32)))</formula>
    </cfRule>
  </conditionalFormatting>
  <conditionalFormatting sqref="X31:AB31">
    <cfRule type="containsText" dxfId="285" priority="180" operator="containsText" text="ложь">
      <formula>NOT(ISERROR(SEARCH("ложь",X31)))</formula>
    </cfRule>
  </conditionalFormatting>
  <conditionalFormatting sqref="AC32:AC36">
    <cfRule type="containsText" dxfId="284" priority="179" operator="containsText" text="ложь">
      <formula>NOT(ISERROR(SEARCH("ложь",AC32)))</formula>
    </cfRule>
  </conditionalFormatting>
  <conditionalFormatting sqref="AC31">
    <cfRule type="containsText" dxfId="283" priority="178" operator="containsText" text="ложь">
      <formula>NOT(ISERROR(SEARCH("ложь",AC31)))</formula>
    </cfRule>
  </conditionalFormatting>
  <conditionalFormatting sqref="AD31:AI31">
    <cfRule type="containsText" dxfId="282" priority="177" operator="containsText" text="ложь">
      <formula>NOT(ISERROR(SEARCH("ложь",AD31)))</formula>
    </cfRule>
  </conditionalFormatting>
  <conditionalFormatting sqref="AD32:AI36">
    <cfRule type="containsText" dxfId="281" priority="176" operator="containsText" text="ложь">
      <formula>NOT(ISERROR(SEARCH("ложь",AD32)))</formula>
    </cfRule>
  </conditionalFormatting>
  <conditionalFormatting sqref="AJ31:AO31">
    <cfRule type="containsText" dxfId="280" priority="175" operator="containsText" text="ложь">
      <formula>NOT(ISERROR(SEARCH("ложь",AJ31)))</formula>
    </cfRule>
  </conditionalFormatting>
  <conditionalFormatting sqref="AJ32:AJ36">
    <cfRule type="containsText" dxfId="279" priority="174" operator="containsText" text="ложь">
      <formula>NOT(ISERROR(SEARCH("ложь",AJ32)))</formula>
    </cfRule>
  </conditionalFormatting>
  <conditionalFormatting sqref="AU37">
    <cfRule type="containsText" dxfId="278" priority="171" operator="containsText" text="ложь">
      <formula>NOT(ISERROR(SEARCH("ложь",AU37)))</formula>
    </cfRule>
  </conditionalFormatting>
  <conditionalFormatting sqref="B37:C37 Q37 K37 E37">
    <cfRule type="containsText" dxfId="277" priority="168" operator="containsText" text="ложь">
      <formula>NOT(ISERROR(SEARCH("ложь",B37)))</formula>
    </cfRule>
  </conditionalFormatting>
  <conditionalFormatting sqref="W37">
    <cfRule type="containsText" dxfId="276" priority="167" operator="containsText" text="ложь">
      <formula>NOT(ISERROR(SEARCH("ложь",W37)))</formula>
    </cfRule>
  </conditionalFormatting>
  <conditionalFormatting sqref="X37:AB37">
    <cfRule type="containsText" dxfId="275" priority="166" operator="containsText" text="ложь">
      <formula>NOT(ISERROR(SEARCH("ложь",X37)))</formula>
    </cfRule>
  </conditionalFormatting>
  <conditionalFormatting sqref="AC37">
    <cfRule type="containsText" dxfId="274" priority="165" operator="containsText" text="ложь">
      <formula>NOT(ISERROR(SEARCH("ложь",AC37)))</formula>
    </cfRule>
  </conditionalFormatting>
  <conditionalFormatting sqref="AD37:AI37">
    <cfRule type="containsText" dxfId="273" priority="164" operator="containsText" text="ложь">
      <formula>NOT(ISERROR(SEARCH("ложь",AD37)))</formula>
    </cfRule>
  </conditionalFormatting>
  <conditionalFormatting sqref="AJ37">
    <cfRule type="containsText" dxfId="272" priority="163" operator="containsText" text="ложь">
      <formula>NOT(ISERROR(SEARCH("ложь",AJ37)))</formula>
    </cfRule>
  </conditionalFormatting>
  <conditionalFormatting sqref="AV38:XFD38">
    <cfRule type="containsText" dxfId="271" priority="162" operator="containsText" text="ложь">
      <formula>NOT(ISERROR(SEARCH("ложь",AV38)))</formula>
    </cfRule>
  </conditionalFormatting>
  <conditionalFormatting sqref="AU38">
    <cfRule type="containsText" dxfId="270" priority="160" operator="containsText" text="ложь">
      <formula>NOT(ISERROR(SEARCH("ложь",AU38)))</formula>
    </cfRule>
  </conditionalFormatting>
  <conditionalFormatting sqref="C38 Q38 K38 E38">
    <cfRule type="containsText" dxfId="269" priority="157" operator="containsText" text="ложь">
      <formula>NOT(ISERROR(SEARCH("ложь",C38)))</formula>
    </cfRule>
  </conditionalFormatting>
  <conditionalFormatting sqref="W38">
    <cfRule type="containsText" dxfId="268" priority="156" operator="containsText" text="ложь">
      <formula>NOT(ISERROR(SEARCH("ложь",W38)))</formula>
    </cfRule>
  </conditionalFormatting>
  <conditionalFormatting sqref="X38:AB38">
    <cfRule type="containsText" dxfId="267" priority="155" operator="containsText" text="ложь">
      <formula>NOT(ISERROR(SEARCH("ложь",X38)))</formula>
    </cfRule>
  </conditionalFormatting>
  <conditionalFormatting sqref="AC38">
    <cfRule type="containsText" dxfId="266" priority="154" operator="containsText" text="ложь">
      <formula>NOT(ISERROR(SEARCH("ложь",AC38)))</formula>
    </cfRule>
  </conditionalFormatting>
  <conditionalFormatting sqref="AD38:AI38">
    <cfRule type="containsText" dxfId="265" priority="153" operator="containsText" text="ложь">
      <formula>NOT(ISERROR(SEARCH("ложь",AD38)))</formula>
    </cfRule>
  </conditionalFormatting>
  <conditionalFormatting sqref="AJ38">
    <cfRule type="containsText" dxfId="264" priority="152" operator="containsText" text="ложь">
      <formula>NOT(ISERROR(SEARCH("ложь",AJ38)))</formula>
    </cfRule>
  </conditionalFormatting>
  <conditionalFormatting sqref="AV39:XFD39">
    <cfRule type="containsText" dxfId="263" priority="151" operator="containsText" text="ложь">
      <formula>NOT(ISERROR(SEARCH("ложь",AV39)))</formula>
    </cfRule>
  </conditionalFormatting>
  <conditionalFormatting sqref="AU39">
    <cfRule type="containsText" dxfId="262" priority="149" operator="containsText" text="ложь">
      <formula>NOT(ISERROR(SEARCH("ложь",AU39)))</formula>
    </cfRule>
  </conditionalFormatting>
  <conditionalFormatting sqref="C39 Q39 K39 E39">
    <cfRule type="containsText" dxfId="261" priority="146" operator="containsText" text="ложь">
      <formula>NOT(ISERROR(SEARCH("ложь",C39)))</formula>
    </cfRule>
  </conditionalFormatting>
  <conditionalFormatting sqref="W39">
    <cfRule type="containsText" dxfId="260" priority="145" operator="containsText" text="ложь">
      <formula>NOT(ISERROR(SEARCH("ложь",W39)))</formula>
    </cfRule>
  </conditionalFormatting>
  <conditionalFormatting sqref="X39:AB39">
    <cfRule type="containsText" dxfId="259" priority="144" operator="containsText" text="ложь">
      <formula>NOT(ISERROR(SEARCH("ложь",X39)))</formula>
    </cfRule>
  </conditionalFormatting>
  <conditionalFormatting sqref="AC39">
    <cfRule type="containsText" dxfId="258" priority="143" operator="containsText" text="ложь">
      <formula>NOT(ISERROR(SEARCH("ложь",AC39)))</formula>
    </cfRule>
  </conditionalFormatting>
  <conditionalFormatting sqref="AD39:AI39">
    <cfRule type="containsText" dxfId="257" priority="142" operator="containsText" text="ложь">
      <formula>NOT(ISERROR(SEARCH("ложь",AD39)))</formula>
    </cfRule>
  </conditionalFormatting>
  <conditionalFormatting sqref="AJ39">
    <cfRule type="containsText" dxfId="256" priority="141" operator="containsText" text="ложь">
      <formula>NOT(ISERROR(SEARCH("ложь",AJ39)))</formula>
    </cfRule>
  </conditionalFormatting>
  <conditionalFormatting sqref="AV40:XFD40">
    <cfRule type="containsText" dxfId="255" priority="140" operator="containsText" text="ложь">
      <formula>NOT(ISERROR(SEARCH("ложь",AV40)))</formula>
    </cfRule>
  </conditionalFormatting>
  <conditionalFormatting sqref="AU40">
    <cfRule type="containsText" dxfId="254" priority="138" operator="containsText" text="ложь">
      <formula>NOT(ISERROR(SEARCH("ложь",AU40)))</formula>
    </cfRule>
  </conditionalFormatting>
  <conditionalFormatting sqref="B40:C40 Q40 K40 E40">
    <cfRule type="containsText" dxfId="253" priority="135" operator="containsText" text="ложь">
      <formula>NOT(ISERROR(SEARCH("ложь",B40)))</formula>
    </cfRule>
  </conditionalFormatting>
  <conditionalFormatting sqref="W40">
    <cfRule type="containsText" dxfId="252" priority="134" operator="containsText" text="ложь">
      <formula>NOT(ISERROR(SEARCH("ложь",W40)))</formula>
    </cfRule>
  </conditionalFormatting>
  <conditionalFormatting sqref="X40:AB40">
    <cfRule type="containsText" dxfId="251" priority="133" operator="containsText" text="ложь">
      <formula>NOT(ISERROR(SEARCH("ложь",X40)))</formula>
    </cfRule>
  </conditionalFormatting>
  <conditionalFormatting sqref="AC40">
    <cfRule type="containsText" dxfId="250" priority="132" operator="containsText" text="ложь">
      <formula>NOT(ISERROR(SEARCH("ложь",AC40)))</formula>
    </cfRule>
  </conditionalFormatting>
  <conditionalFormatting sqref="AD40:AI40">
    <cfRule type="containsText" dxfId="249" priority="131" operator="containsText" text="ложь">
      <formula>NOT(ISERROR(SEARCH("ложь",AD40)))</formula>
    </cfRule>
  </conditionalFormatting>
  <conditionalFormatting sqref="AJ40">
    <cfRule type="containsText" dxfId="248" priority="130" operator="containsText" text="ложь">
      <formula>NOT(ISERROR(SEARCH("ложь",AJ40)))</formula>
    </cfRule>
  </conditionalFormatting>
  <conditionalFormatting sqref="B41:C41 Q41 K41 E41">
    <cfRule type="containsText" dxfId="247" priority="118" operator="containsText" text="ложь">
      <formula>NOT(ISERROR(SEARCH("ложь",B41)))</formula>
    </cfRule>
  </conditionalFormatting>
  <conditionalFormatting sqref="W41">
    <cfRule type="containsText" dxfId="246" priority="117" operator="containsText" text="ложь">
      <formula>NOT(ISERROR(SEARCH("ложь",W41)))</formula>
    </cfRule>
  </conditionalFormatting>
  <conditionalFormatting sqref="X41">
    <cfRule type="containsText" dxfId="245" priority="115" operator="containsText" text="ложь">
      <formula>NOT(ISERROR(SEARCH("ложь",X41)))</formula>
    </cfRule>
  </conditionalFormatting>
  <conditionalFormatting sqref="Y41">
    <cfRule type="containsText" dxfId="244" priority="114" operator="containsText" text="ложь">
      <formula>NOT(ISERROR(SEARCH("ложь",Y41)))</formula>
    </cfRule>
  </conditionalFormatting>
  <conditionalFormatting sqref="Z41:AB41 AT41:AU41">
    <cfRule type="containsText" dxfId="243" priority="113" operator="containsText" text="ложь">
      <formula>NOT(ISERROR(SEARCH("ложь",Z41)))</formula>
    </cfRule>
  </conditionalFormatting>
  <conditionalFormatting sqref="AC41">
    <cfRule type="containsText" dxfId="242" priority="109" operator="containsText" text="ложь">
      <formula>NOT(ISERROR(SEARCH("ложь",AC41)))</formula>
    </cfRule>
  </conditionalFormatting>
  <conditionalFormatting sqref="AD41:AI41">
    <cfRule type="containsText" dxfId="241" priority="108" operator="containsText" text="ложь">
      <formula>NOT(ISERROR(SEARCH("ложь",AD41)))</formula>
    </cfRule>
  </conditionalFormatting>
  <conditionalFormatting sqref="AJ41:AS41">
    <cfRule type="containsText" dxfId="240" priority="104" operator="containsText" text="ложь">
      <formula>NOT(ISERROR(SEARCH("ложь",AJ41)))</formula>
    </cfRule>
  </conditionalFormatting>
  <conditionalFormatting sqref="R32:V36">
    <cfRule type="containsText" dxfId="239" priority="98" operator="containsText" text="ложь">
      <formula>NOT(ISERROR(SEARCH("ложь",R32)))</formula>
    </cfRule>
  </conditionalFormatting>
  <conditionalFormatting sqref="R37:V37">
    <cfRule type="containsText" dxfId="238" priority="97" operator="containsText" text="ложь">
      <formula>NOT(ISERROR(SEARCH("ложь",R37)))</formula>
    </cfRule>
  </conditionalFormatting>
  <conditionalFormatting sqref="R38:V38">
    <cfRule type="containsText" dxfId="237" priority="96" operator="containsText" text="ложь">
      <formula>NOT(ISERROR(SEARCH("ложь",R38)))</formula>
    </cfRule>
  </conditionalFormatting>
  <conditionalFormatting sqref="R39:V39">
    <cfRule type="containsText" dxfId="236" priority="95" operator="containsText" text="ложь">
      <formula>NOT(ISERROR(SEARCH("ложь",R39)))</formula>
    </cfRule>
  </conditionalFormatting>
  <conditionalFormatting sqref="R40:V40">
    <cfRule type="containsText" dxfId="235" priority="94" operator="containsText" text="ложь">
      <formula>NOT(ISERROR(SEARCH("ложь",R40)))</formula>
    </cfRule>
  </conditionalFormatting>
  <conditionalFormatting sqref="L38:P38">
    <cfRule type="containsText" dxfId="234" priority="89" operator="containsText" text="ложь">
      <formula>NOT(ISERROR(SEARCH("ложь",L38)))</formula>
    </cfRule>
  </conditionalFormatting>
  <conditionalFormatting sqref="R41:V41">
    <cfRule type="containsText" dxfId="233" priority="92" operator="containsText" text="ложь">
      <formula>NOT(ISERROR(SEARCH("ложь",R41)))</formula>
    </cfRule>
  </conditionalFormatting>
  <conditionalFormatting sqref="L32:P36">
    <cfRule type="containsText" dxfId="232" priority="91" operator="containsText" text="ложь">
      <formula>NOT(ISERROR(SEARCH("ложь",L32)))</formula>
    </cfRule>
  </conditionalFormatting>
  <conditionalFormatting sqref="L37:P37">
    <cfRule type="containsText" dxfId="231" priority="90" operator="containsText" text="ложь">
      <formula>NOT(ISERROR(SEARCH("ложь",L37)))</formula>
    </cfRule>
  </conditionalFormatting>
  <conditionalFormatting sqref="L39:P39">
    <cfRule type="containsText" dxfId="230" priority="88" operator="containsText" text="ложь">
      <formula>NOT(ISERROR(SEARCH("ложь",L39)))</formula>
    </cfRule>
  </conditionalFormatting>
  <conditionalFormatting sqref="L40:P40">
    <cfRule type="containsText" dxfId="229" priority="87" operator="containsText" text="ложь">
      <formula>NOT(ISERROR(SEARCH("ложь",L40)))</formula>
    </cfRule>
  </conditionalFormatting>
  <conditionalFormatting sqref="F38:J38">
    <cfRule type="containsText" dxfId="228" priority="82" operator="containsText" text="ложь">
      <formula>NOT(ISERROR(SEARCH("ложь",F38)))</formula>
    </cfRule>
  </conditionalFormatting>
  <conditionalFormatting sqref="L41:P41">
    <cfRule type="containsText" dxfId="227" priority="85" operator="containsText" text="ложь">
      <formula>NOT(ISERROR(SEARCH("ложь",L41)))</formula>
    </cfRule>
  </conditionalFormatting>
  <conditionalFormatting sqref="F32:J34 F36:J36 G35:J35">
    <cfRule type="containsText" dxfId="226" priority="84" operator="containsText" text="ложь">
      <formula>NOT(ISERROR(SEARCH("ложь",F32)))</formula>
    </cfRule>
  </conditionalFormatting>
  <conditionalFormatting sqref="F37:J37">
    <cfRule type="containsText" dxfId="225" priority="83" operator="containsText" text="ложь">
      <formula>NOT(ISERROR(SEARCH("ложь",F37)))</formula>
    </cfRule>
  </conditionalFormatting>
  <conditionalFormatting sqref="G39:J39">
    <cfRule type="containsText" dxfId="224" priority="81" operator="containsText" text="ложь">
      <formula>NOT(ISERROR(SEARCH("ложь",G39)))</formula>
    </cfRule>
  </conditionalFormatting>
  <conditionalFormatting sqref="F40:J40">
    <cfRule type="containsText" dxfId="223" priority="80" operator="containsText" text="ложь">
      <formula>NOT(ISERROR(SEARCH("ложь",F40)))</formula>
    </cfRule>
  </conditionalFormatting>
  <conditionalFormatting sqref="D38">
    <cfRule type="containsText" dxfId="222" priority="75" operator="containsText" text="ложь">
      <formula>NOT(ISERROR(SEARCH("ложь",D38)))</formula>
    </cfRule>
  </conditionalFormatting>
  <conditionalFormatting sqref="F41:J41">
    <cfRule type="containsText" dxfId="221" priority="78" operator="containsText" text="ложь">
      <formula>NOT(ISERROR(SEARCH("ложь",F41)))</formula>
    </cfRule>
  </conditionalFormatting>
  <conditionalFormatting sqref="D32:D36">
    <cfRule type="containsText" dxfId="220" priority="77" operator="containsText" text="ложь">
      <formula>NOT(ISERROR(SEARCH("ложь",D32)))</formula>
    </cfRule>
  </conditionalFormatting>
  <conditionalFormatting sqref="D37">
    <cfRule type="containsText" dxfId="219" priority="76" operator="containsText" text="ложь">
      <formula>NOT(ISERROR(SEARCH("ложь",D37)))</formula>
    </cfRule>
  </conditionalFormatting>
  <conditionalFormatting sqref="D39">
    <cfRule type="containsText" dxfId="218" priority="74" operator="containsText" text="ложь">
      <formula>NOT(ISERROR(SEARCH("ложь",D39)))</formula>
    </cfRule>
  </conditionalFormatting>
  <conditionalFormatting sqref="D40">
    <cfRule type="containsText" dxfId="217" priority="73" operator="containsText" text="ложь">
      <formula>NOT(ISERROR(SEARCH("ложь",D40)))</formula>
    </cfRule>
  </conditionalFormatting>
  <conditionalFormatting sqref="B25:C25 Q25 K25 E25">
    <cfRule type="containsText" dxfId="216" priority="68" operator="containsText" text="ложь">
      <formula>NOT(ISERROR(SEARCH("ложь",B25)))</formula>
    </cfRule>
  </conditionalFormatting>
  <conditionalFormatting sqref="D41">
    <cfRule type="containsText" dxfId="215" priority="71" operator="containsText" text="ложь">
      <formula>NOT(ISERROR(SEARCH("ложь",D41)))</formula>
    </cfRule>
  </conditionalFormatting>
  <conditionalFormatting sqref="W25">
    <cfRule type="containsText" dxfId="214" priority="67" operator="containsText" text="ложь">
      <formula>NOT(ISERROR(SEARCH("ложь",W25)))</formula>
    </cfRule>
  </conditionalFormatting>
  <conditionalFormatting sqref="AU25">
    <cfRule type="containsText" dxfId="213" priority="66" operator="containsText" text="ложь">
      <formula>NOT(ISERROR(SEARCH("ложь",AU25)))</formula>
    </cfRule>
  </conditionalFormatting>
  <conditionalFormatting sqref="AC25">
    <cfRule type="containsText" dxfId="212" priority="65" operator="containsText" text="ложь">
      <formula>NOT(ISERROR(SEARCH("ложь",AC25)))</formula>
    </cfRule>
  </conditionalFormatting>
  <conditionalFormatting sqref="AD25:AI25">
    <cfRule type="containsText" dxfId="211" priority="64" operator="containsText" text="ложь">
      <formula>NOT(ISERROR(SEARCH("ложь",AD25)))</formula>
    </cfRule>
  </conditionalFormatting>
  <conditionalFormatting sqref="AJ25">
    <cfRule type="containsText" dxfId="210" priority="63" operator="containsText" text="ложь">
      <formula>NOT(ISERROR(SEARCH("ложь",AJ25)))</formula>
    </cfRule>
  </conditionalFormatting>
  <conditionalFormatting sqref="AC27 A27:W27">
    <cfRule type="containsText" dxfId="209" priority="62" operator="containsText" text="ложь">
      <formula>NOT(ISERROR(SEARCH("ложь",A27)))</formula>
    </cfRule>
  </conditionalFormatting>
  <conditionalFormatting sqref="X27:AB27 AT27:AU27">
    <cfRule type="containsText" dxfId="208" priority="61" operator="containsText" text="ложь">
      <formula>NOT(ISERROR(SEARCH("ложь",X27)))</formula>
    </cfRule>
  </conditionalFormatting>
  <conditionalFormatting sqref="AD27:AI27">
    <cfRule type="containsText" dxfId="207" priority="60" operator="containsText" text="ложь">
      <formula>NOT(ISERROR(SEARCH("ложь",AD27)))</formula>
    </cfRule>
  </conditionalFormatting>
  <conditionalFormatting sqref="AJ27:AS27">
    <cfRule type="containsText" dxfId="206" priority="59" operator="containsText" text="ложь">
      <formula>NOT(ISERROR(SEARCH("ложь",AJ27)))</formula>
    </cfRule>
  </conditionalFormatting>
  <conditionalFormatting sqref="A23:A25">
    <cfRule type="containsText" dxfId="205" priority="58" operator="containsText" text="ложь">
      <formula>NOT(ISERROR(SEARCH("ложь",A23)))</formula>
    </cfRule>
  </conditionalFormatting>
  <conditionalFormatting sqref="A26:C26 AC26:AJ26 W26 Q26 K26 E26">
    <cfRule type="containsText" dxfId="204" priority="57" operator="containsText" text="ложь">
      <formula>NOT(ISERROR(SEARCH("ложь",A26)))</formula>
    </cfRule>
  </conditionalFormatting>
  <conditionalFormatting sqref="X23:AB24">
    <cfRule type="containsText" dxfId="203" priority="56" operator="containsText" text="ложь">
      <formula>NOT(ISERROR(SEARCH("ложь",X23)))</formula>
    </cfRule>
  </conditionalFormatting>
  <conditionalFormatting sqref="X25:AB25">
    <cfRule type="containsText" dxfId="202" priority="55" operator="containsText" text="ложь">
      <formula>NOT(ISERROR(SEARCH("ложь",X25)))</formula>
    </cfRule>
  </conditionalFormatting>
  <conditionalFormatting sqref="X26:AB26">
    <cfRule type="containsText" dxfId="201" priority="54" operator="containsText" text="ложь">
      <formula>NOT(ISERROR(SEARCH("ложь",X26)))</formula>
    </cfRule>
  </conditionalFormatting>
  <conditionalFormatting sqref="R23:V24">
    <cfRule type="containsText" dxfId="200" priority="53" operator="containsText" text="ложь">
      <formula>NOT(ISERROR(SEARCH("ложь",R23)))</formula>
    </cfRule>
  </conditionalFormatting>
  <conditionalFormatting sqref="R25:V25">
    <cfRule type="containsText" dxfId="199" priority="52" operator="containsText" text="ложь">
      <formula>NOT(ISERROR(SEARCH("ложь",R25)))</formula>
    </cfRule>
  </conditionalFormatting>
  <conditionalFormatting sqref="R26:V26">
    <cfRule type="containsText" dxfId="198" priority="51" operator="containsText" text="ложь">
      <formula>NOT(ISERROR(SEARCH("ложь",R26)))</formula>
    </cfRule>
  </conditionalFormatting>
  <conditionalFormatting sqref="L23:P24">
    <cfRule type="containsText" dxfId="197" priority="50" operator="containsText" text="ложь">
      <formula>NOT(ISERROR(SEARCH("ложь",L23)))</formula>
    </cfRule>
  </conditionalFormatting>
  <conditionalFormatting sqref="L25:P25">
    <cfRule type="containsText" dxfId="196" priority="49" operator="containsText" text="ложь">
      <formula>NOT(ISERROR(SEARCH("ложь",L25)))</formula>
    </cfRule>
  </conditionalFormatting>
  <conditionalFormatting sqref="L26:P26">
    <cfRule type="containsText" dxfId="195" priority="48" operator="containsText" text="ложь">
      <formula>NOT(ISERROR(SEARCH("ложь",L26)))</formula>
    </cfRule>
  </conditionalFormatting>
  <conditionalFormatting sqref="F23:J24">
    <cfRule type="containsText" dxfId="194" priority="47" operator="containsText" text="ложь">
      <formula>NOT(ISERROR(SEARCH("ложь",F23)))</formula>
    </cfRule>
  </conditionalFormatting>
  <conditionalFormatting sqref="F25:J25">
    <cfRule type="containsText" dxfId="193" priority="46" operator="containsText" text="ложь">
      <formula>NOT(ISERROR(SEARCH("ложь",F25)))</formula>
    </cfRule>
  </conditionalFormatting>
  <conditionalFormatting sqref="F26:J26">
    <cfRule type="containsText" dxfId="192" priority="45" operator="containsText" text="ложь">
      <formula>NOT(ISERROR(SEARCH("ложь",F26)))</formula>
    </cfRule>
  </conditionalFormatting>
  <conditionalFormatting sqref="D23:D24">
    <cfRule type="containsText" dxfId="191" priority="44" operator="containsText" text="ложь">
      <formula>NOT(ISERROR(SEARCH("ложь",D23)))</formula>
    </cfRule>
  </conditionalFormatting>
  <conditionalFormatting sqref="D25">
    <cfRule type="containsText" dxfId="190" priority="43" operator="containsText" text="ложь">
      <formula>NOT(ISERROR(SEARCH("ложь",D25)))</formula>
    </cfRule>
  </conditionalFormatting>
  <conditionalFormatting sqref="D26">
    <cfRule type="containsText" dxfId="189" priority="42" operator="containsText" text="ложь">
      <formula>NOT(ISERROR(SEARCH("ложь",D26)))</formula>
    </cfRule>
  </conditionalFormatting>
  <conditionalFormatting sqref="A32:A39">
    <cfRule type="containsText" dxfId="188" priority="41" operator="containsText" text="ложь">
      <formula>NOT(ISERROR(SEARCH("ложь",A32)))</formula>
    </cfRule>
  </conditionalFormatting>
  <conditionalFormatting sqref="A41">
    <cfRule type="containsText" dxfId="187" priority="40" operator="containsText" text="ложь">
      <formula>NOT(ISERROR(SEARCH("ложь",A41)))</formula>
    </cfRule>
  </conditionalFormatting>
  <conditionalFormatting sqref="A40">
    <cfRule type="containsText" dxfId="186" priority="39" operator="containsText" text="ложь">
      <formula>NOT(ISERROR(SEARCH("ложь",A40)))</formula>
    </cfRule>
  </conditionalFormatting>
  <conditionalFormatting sqref="B38">
    <cfRule type="containsText" dxfId="185" priority="38" operator="containsText" text="ложь">
      <formula>NOT(ISERROR(SEARCH("ложь",B38)))</formula>
    </cfRule>
  </conditionalFormatting>
  <conditionalFormatting sqref="B39">
    <cfRule type="containsText" dxfId="184" priority="37" operator="containsText" text="ложь">
      <formula>NOT(ISERROR(SEARCH("ложь",B39)))</formula>
    </cfRule>
  </conditionalFormatting>
  <conditionalFormatting sqref="AK23:AO24">
    <cfRule type="containsText" dxfId="183" priority="30" operator="containsText" text="ложь">
      <formula>NOT(ISERROR(SEARCH("ложь",AK23)))</formula>
    </cfRule>
  </conditionalFormatting>
  <conditionalFormatting sqref="AK25:AO25">
    <cfRule type="containsText" dxfId="182" priority="29" operator="containsText" text="ложь">
      <formula>NOT(ISERROR(SEARCH("ложь",AK25)))</formula>
    </cfRule>
  </conditionalFormatting>
  <conditionalFormatting sqref="AK26:AO26">
    <cfRule type="containsText" dxfId="181" priority="28" operator="containsText" text="ложь">
      <formula>NOT(ISERROR(SEARCH("ложь",AK26)))</formula>
    </cfRule>
  </conditionalFormatting>
  <conditionalFormatting sqref="AK32:AO36">
    <cfRule type="containsText" dxfId="180" priority="27" operator="containsText" text="ложь">
      <formula>NOT(ISERROR(SEARCH("ложь",AK32)))</formula>
    </cfRule>
  </conditionalFormatting>
  <conditionalFormatting sqref="AK37:AO37">
    <cfRule type="containsText" dxfId="179" priority="26" operator="containsText" text="ложь">
      <formula>NOT(ISERROR(SEARCH("ложь",AK37)))</formula>
    </cfRule>
  </conditionalFormatting>
  <conditionalFormatting sqref="AK38:AO38">
    <cfRule type="containsText" dxfId="178" priority="25" operator="containsText" text="ложь">
      <formula>NOT(ISERROR(SEARCH("ложь",AK38)))</formula>
    </cfRule>
  </conditionalFormatting>
  <conditionalFormatting sqref="AK39:AO39">
    <cfRule type="containsText" dxfId="177" priority="24" operator="containsText" text="ложь">
      <formula>NOT(ISERROR(SEARCH("ложь",AK39)))</formula>
    </cfRule>
  </conditionalFormatting>
  <conditionalFormatting sqref="AK40:AO40">
    <cfRule type="containsText" dxfId="176" priority="23" operator="containsText" text="ложь">
      <formula>NOT(ISERROR(SEARCH("ложь",AK40)))</formula>
    </cfRule>
  </conditionalFormatting>
  <conditionalFormatting sqref="AP7:AT7">
    <cfRule type="containsText" dxfId="175" priority="22" operator="containsText" text="ложь">
      <formula>NOT(ISERROR(SEARCH("ложь",AP7)))</formula>
    </cfRule>
  </conditionalFormatting>
  <conditionalFormatting sqref="AP1:AT1">
    <cfRule type="containsText" dxfId="174" priority="21" operator="containsText" text="ложь">
      <formula>NOT(ISERROR(SEARCH("ложь",AP1)))</formula>
    </cfRule>
  </conditionalFormatting>
  <conditionalFormatting sqref="AP23:AQ24">
    <cfRule type="containsText" dxfId="173" priority="20" operator="containsText" text="ложь">
      <formula>NOT(ISERROR(SEARCH("ложь",AP23)))</formula>
    </cfRule>
  </conditionalFormatting>
  <conditionalFormatting sqref="AP25:AQ25">
    <cfRule type="containsText" dxfId="172" priority="19" operator="containsText" text="ложь">
      <formula>NOT(ISERROR(SEARCH("ложь",AP25)))</formula>
    </cfRule>
  </conditionalFormatting>
  <conditionalFormatting sqref="AP26:AQ26">
    <cfRule type="containsText" dxfId="171" priority="18" operator="containsText" text="ложь">
      <formula>NOT(ISERROR(SEARCH("ложь",AP26)))</formula>
    </cfRule>
  </conditionalFormatting>
  <conditionalFormatting sqref="AP32:AQ36">
    <cfRule type="containsText" dxfId="170" priority="17" operator="containsText" text="ложь">
      <formula>NOT(ISERROR(SEARCH("ложь",AP32)))</formula>
    </cfRule>
  </conditionalFormatting>
  <conditionalFormatting sqref="AP37:AQ37">
    <cfRule type="containsText" dxfId="169" priority="16" operator="containsText" text="ложь">
      <formula>NOT(ISERROR(SEARCH("ложь",AP37)))</formula>
    </cfRule>
  </conditionalFormatting>
  <conditionalFormatting sqref="AP38:AQ38">
    <cfRule type="containsText" dxfId="168" priority="15" operator="containsText" text="ложь">
      <formula>NOT(ISERROR(SEARCH("ложь",AP38)))</formula>
    </cfRule>
  </conditionalFormatting>
  <conditionalFormatting sqref="AP39:AQ39">
    <cfRule type="containsText" dxfId="167" priority="14" operator="containsText" text="ложь">
      <formula>NOT(ISERROR(SEARCH("ложь",AP39)))</formula>
    </cfRule>
  </conditionalFormatting>
  <conditionalFormatting sqref="AP40:AQ40">
    <cfRule type="containsText" dxfId="166" priority="13" operator="containsText" text="ложь">
      <formula>NOT(ISERROR(SEARCH("ложь",AP40)))</formula>
    </cfRule>
  </conditionalFormatting>
  <conditionalFormatting sqref="AP22:AT22">
    <cfRule type="containsText" dxfId="165" priority="12" operator="containsText" text="ложь">
      <formula>NOT(ISERROR(SEARCH("ложь",AP22)))</formula>
    </cfRule>
  </conditionalFormatting>
  <conditionalFormatting sqref="AP31:AT31">
    <cfRule type="containsText" dxfId="164" priority="11" operator="containsText" text="ложь">
      <formula>NOT(ISERROR(SEARCH("ложь",AP31)))</formula>
    </cfRule>
  </conditionalFormatting>
  <conditionalFormatting sqref="AR23:AT24">
    <cfRule type="containsText" dxfId="163" priority="10" operator="containsText" text="ложь">
      <formula>NOT(ISERROR(SEARCH("ложь",AR23)))</formula>
    </cfRule>
  </conditionalFormatting>
  <conditionalFormatting sqref="AR25:AT25">
    <cfRule type="containsText" dxfId="162" priority="9" operator="containsText" text="ложь">
      <formula>NOT(ISERROR(SEARCH("ложь",AR25)))</formula>
    </cfRule>
  </conditionalFormatting>
  <conditionalFormatting sqref="AR26:AT26">
    <cfRule type="containsText" dxfId="161" priority="8" operator="containsText" text="ложь">
      <formula>NOT(ISERROR(SEARCH("ложь",AR26)))</formula>
    </cfRule>
  </conditionalFormatting>
  <conditionalFormatting sqref="AR32:AT36">
    <cfRule type="containsText" dxfId="160" priority="7" operator="containsText" text="ложь">
      <formula>NOT(ISERROR(SEARCH("ложь",AR32)))</formula>
    </cfRule>
  </conditionalFormatting>
  <conditionalFormatting sqref="AR37:AT37">
    <cfRule type="containsText" dxfId="159" priority="6" operator="containsText" text="ложь">
      <formula>NOT(ISERROR(SEARCH("ложь",AR37)))</formula>
    </cfRule>
  </conditionalFormatting>
  <conditionalFormatting sqref="AR38:AT38">
    <cfRule type="containsText" dxfId="158" priority="5" operator="containsText" text="ложь">
      <formula>NOT(ISERROR(SEARCH("ложь",AR38)))</formula>
    </cfRule>
  </conditionalFormatting>
  <conditionalFormatting sqref="AR39:AT39">
    <cfRule type="containsText" dxfId="157" priority="4" operator="containsText" text="ложь">
      <formula>NOT(ISERROR(SEARCH("ложь",AR39)))</formula>
    </cfRule>
  </conditionalFormatting>
  <conditionalFormatting sqref="AR40:AT40">
    <cfRule type="containsText" dxfId="156" priority="3" operator="containsText" text="ложь">
      <formula>NOT(ISERROR(SEARCH("ложь",AR40)))</formula>
    </cfRule>
  </conditionalFormatting>
  <conditionalFormatting sqref="F35">
    <cfRule type="containsText" dxfId="155" priority="2" operator="containsText" text="ложь">
      <formula>NOT(ISERROR(SEARCH("ложь",F35)))</formula>
    </cfRule>
  </conditionalFormatting>
  <conditionalFormatting sqref="F39">
    <cfRule type="containsText" dxfId="154" priority="1" operator="containsText" text="ложь">
      <formula>NOT(ISERROR(SEARCH("ложь",F39)))</formula>
    </cfRule>
  </conditionalFormatting>
  <hyperlinks>
    <hyperlink ref="A43" location="Contents!A1" display="Contents!A1" xr:uid="{00000000-0004-0000-0C00-000000000000}"/>
  </hyperlinks>
  <pageMargins left="0.7" right="0.7" top="0.75" bottom="0.75" header="0.3" footer="0.3"/>
  <pageSetup paperSize="9" scale="6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6">
    <pageSetUpPr fitToPage="1"/>
  </sheetPr>
  <dimension ref="A1:AU48"/>
  <sheetViews>
    <sheetView showGridLines="0" zoomScaleNormal="10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5" width="10.710937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7" width="10.7109375" style="20" customWidth="1"/>
    <col min="48" max="16384" width="9.140625" style="20"/>
  </cols>
  <sheetData>
    <row r="1" spans="1:47" s="220" customFormat="1" ht="15" customHeight="1" x14ac:dyDescent="0.2"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7" ht="15" customHeight="1" x14ac:dyDescent="0.2">
      <c r="A2" s="335" t="str">
        <f>IF(Contents!$A$1=2,"TAXATION","НАЛОГООБЛОЖЕНИЕ")</f>
        <v>НАЛОГООБЛОЖЕНИЕ</v>
      </c>
      <c r="B2" s="133"/>
      <c r="G2" s="360"/>
      <c r="H2" s="360"/>
    </row>
    <row r="3" spans="1:47" ht="15" customHeight="1" thickBot="1" x14ac:dyDescent="0.25">
      <c r="A3" s="132"/>
      <c r="B3" s="1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52"/>
    </row>
    <row r="4" spans="1:47" ht="15" customHeight="1" thickTop="1" x14ac:dyDescent="0.2">
      <c r="AT4" s="220"/>
      <c r="AU4" s="220"/>
    </row>
    <row r="5" spans="1:47" s="21" customFormat="1" ht="15" customHeight="1" x14ac:dyDescent="0.3">
      <c r="A5" s="39" t="str">
        <f>IF(Contents!$A$1=2,"Key upstream tax rates","Ставки основных налогов в сегменте геологоразведки и добычи")</f>
        <v>Ставки основных налогов в сегменте геологоразведки и добычи</v>
      </c>
      <c r="B5" s="39"/>
      <c r="Q5" s="223"/>
      <c r="W5" s="223"/>
      <c r="AC5" s="223"/>
      <c r="AI5" s="223"/>
      <c r="AO5" s="223"/>
      <c r="AT5" s="223"/>
      <c r="AU5" s="223"/>
    </row>
    <row r="6" spans="1:47" ht="15" customHeight="1" x14ac:dyDescent="0.2"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  <c r="AT6" s="233"/>
      <c r="AU6" s="233"/>
    </row>
    <row r="7" spans="1:47" s="206" customFormat="1" ht="15" customHeight="1" x14ac:dyDescent="0.2">
      <c r="A7" s="75"/>
      <c r="B7" s="313"/>
      <c r="C7" s="16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26">
        <v>2017</v>
      </c>
      <c r="W7" s="328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26">
        <v>2018</v>
      </c>
      <c r="AC7" s="328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26">
        <v>2019</v>
      </c>
      <c r="AI7" s="328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26">
        <v>2020</v>
      </c>
      <c r="AO7" s="328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26">
        <v>2021</v>
      </c>
      <c r="AU7" s="328"/>
    </row>
    <row r="8" spans="1:47" s="16" customFormat="1" ht="15" customHeight="1" x14ac:dyDescent="0.2">
      <c r="A8" s="136" t="str">
        <f>IF(Contents!$A$1=2,"Mineral extraction tax¹","Налог на добычу полезных ископаемых¹")</f>
        <v>Налог на добычу полезных ископаемых¹</v>
      </c>
      <c r="B8" s="280" t="str">
        <f>IF(Contents!$A$1=2,"USD/bbl","долл./барр")</f>
        <v>долл./барр</v>
      </c>
      <c r="D8" s="547">
        <v>151.66999999999999</v>
      </c>
      <c r="E8" s="547"/>
      <c r="F8" s="547">
        <v>0</v>
      </c>
      <c r="G8" s="547">
        <v>0</v>
      </c>
      <c r="H8" s="547">
        <v>0</v>
      </c>
      <c r="I8" s="547">
        <v>0</v>
      </c>
      <c r="J8" s="547">
        <v>103.55</v>
      </c>
      <c r="K8" s="547"/>
      <c r="L8" s="547">
        <v>54.67</v>
      </c>
      <c r="M8" s="547">
        <v>93.17</v>
      </c>
      <c r="N8" s="547">
        <v>94.36</v>
      </c>
      <c r="O8" s="547">
        <v>0</v>
      </c>
      <c r="P8" s="547">
        <v>86.18</v>
      </c>
      <c r="Q8" s="547"/>
      <c r="R8" s="547">
        <v>135.31</v>
      </c>
      <c r="S8" s="547">
        <v>123</v>
      </c>
      <c r="T8" s="547">
        <v>132.36000000000001</v>
      </c>
      <c r="U8" s="547">
        <v>166.4</v>
      </c>
      <c r="V8" s="547">
        <v>139.38999999999999</v>
      </c>
      <c r="W8" s="547"/>
      <c r="X8" s="547">
        <v>182.93</v>
      </c>
      <c r="Y8" s="547">
        <v>208.22</v>
      </c>
      <c r="Z8" s="547">
        <v>213.8</v>
      </c>
      <c r="AA8" s="547">
        <v>188.76</v>
      </c>
      <c r="AB8" s="547">
        <v>198.83</v>
      </c>
      <c r="AC8" s="547"/>
      <c r="AD8" s="547">
        <v>195.88</v>
      </c>
      <c r="AE8" s="547">
        <v>219.46</v>
      </c>
      <c r="AF8" s="547">
        <v>192.12</v>
      </c>
      <c r="AG8" s="547">
        <v>198.31</v>
      </c>
      <c r="AH8" s="547">
        <v>201.4</v>
      </c>
      <c r="AI8" s="547"/>
      <c r="AJ8" s="547">
        <v>159.22</v>
      </c>
      <c r="AK8" s="547">
        <v>67.36</v>
      </c>
      <c r="AL8" s="547">
        <v>127.87</v>
      </c>
      <c r="AM8" s="547">
        <v>131.34</v>
      </c>
      <c r="AN8" s="547">
        <v>120.87</v>
      </c>
      <c r="AO8" s="547"/>
      <c r="AP8" s="547">
        <v>211.15</v>
      </c>
      <c r="AQ8" s="547">
        <v>251.52</v>
      </c>
      <c r="AR8" s="547">
        <v>276</v>
      </c>
      <c r="AS8" s="547">
        <v>308.02</v>
      </c>
      <c r="AT8" s="547">
        <v>261.66000000000003</v>
      </c>
      <c r="AU8" s="152"/>
    </row>
    <row r="9" spans="1:47" s="384" customFormat="1" ht="15" customHeight="1" x14ac:dyDescent="0.2">
      <c r="A9" s="136" t="str">
        <f>IF(Contents!$A$1=2,"Export duty on crude oil","Пошлины на экспорт нефти")</f>
        <v>Пошлины на экспорт нефти</v>
      </c>
      <c r="B9" s="280" t="str">
        <f>IF(Contents!$A$1=2,"USD/bbl","долл./барр")</f>
        <v>долл./барр</v>
      </c>
      <c r="C9" s="377"/>
      <c r="D9" s="546">
        <v>366.53</v>
      </c>
      <c r="E9" s="546"/>
      <c r="F9" s="546">
        <v>130.19</v>
      </c>
      <c r="G9" s="546">
        <v>130.41</v>
      </c>
      <c r="H9" s="546">
        <v>128.68</v>
      </c>
      <c r="I9" s="546">
        <v>92.281521739130369</v>
      </c>
      <c r="J9" s="546">
        <v>120.31</v>
      </c>
      <c r="K9" s="546"/>
      <c r="L9" s="546">
        <v>55</v>
      </c>
      <c r="M9" s="546">
        <v>67.150000000000006</v>
      </c>
      <c r="N9" s="546">
        <v>88.76</v>
      </c>
      <c r="O9" s="546">
        <v>91.655434782608722</v>
      </c>
      <c r="P9" s="546">
        <v>75.72</v>
      </c>
      <c r="Q9" s="546"/>
      <c r="R9" s="546">
        <v>86.43</v>
      </c>
      <c r="S9" s="546">
        <v>84.3</v>
      </c>
      <c r="T9" s="546">
        <v>79.75</v>
      </c>
      <c r="U9" s="546">
        <v>96.34</v>
      </c>
      <c r="V9" s="546">
        <v>86.71</v>
      </c>
      <c r="W9" s="546"/>
      <c r="X9" s="546">
        <v>116.9</v>
      </c>
      <c r="Y9" s="546">
        <v>120.54</v>
      </c>
      <c r="Z9" s="546">
        <v>134.88999999999999</v>
      </c>
      <c r="AA9" s="546">
        <v>141.41999999999999</v>
      </c>
      <c r="AB9" s="546">
        <v>128.52000000000001</v>
      </c>
      <c r="AC9" s="546"/>
      <c r="AD9" s="546">
        <v>87.18</v>
      </c>
      <c r="AE9" s="546">
        <v>104.14</v>
      </c>
      <c r="AF9" s="546">
        <v>95.08</v>
      </c>
      <c r="AG9" s="546">
        <v>88.67</v>
      </c>
      <c r="AH9" s="546">
        <v>93.77</v>
      </c>
      <c r="AI9" s="546"/>
      <c r="AJ9" s="546">
        <v>74.11</v>
      </c>
      <c r="AK9" s="546">
        <v>22.2</v>
      </c>
      <c r="AL9" s="546">
        <v>44.03</v>
      </c>
      <c r="AM9" s="546">
        <v>43.21</v>
      </c>
      <c r="AN9" s="546">
        <v>45.87</v>
      </c>
      <c r="AO9" s="546"/>
      <c r="AP9" s="546">
        <v>44.04</v>
      </c>
      <c r="AQ9" s="546">
        <v>57.08</v>
      </c>
      <c r="AR9" s="546">
        <v>64.63</v>
      </c>
      <c r="AS9" s="546">
        <v>70.489999999999995</v>
      </c>
      <c r="AT9" s="546">
        <v>59.15</v>
      </c>
      <c r="AU9" s="336"/>
    </row>
    <row r="10" spans="1:47" s="384" customFormat="1" ht="15" customHeight="1" x14ac:dyDescent="0.2">
      <c r="A10" s="136"/>
      <c r="B10" s="280"/>
      <c r="C10" s="377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1"/>
      <c r="AS10" s="491"/>
      <c r="AT10" s="491"/>
      <c r="AU10" s="336"/>
    </row>
    <row r="11" spans="1:47" s="384" customFormat="1" ht="15" customHeight="1" x14ac:dyDescent="0.2">
      <c r="A11" s="136" t="str">
        <f>IF(Contents!$A$1=2,"Mineral extraction tax","Налог на добычу полезных ископаемых")</f>
        <v>Налог на добычу полезных ископаемых</v>
      </c>
      <c r="B11" s="280" t="str">
        <f>IF(Contents!$A$1=2,"USD/t","долл./т")</f>
        <v>долл./т</v>
      </c>
      <c r="C11" s="377"/>
      <c r="D11" s="491">
        <v>5827</v>
      </c>
      <c r="E11" s="491"/>
      <c r="F11" s="491">
        <v>6833.88</v>
      </c>
      <c r="G11" s="491">
        <v>7073</v>
      </c>
      <c r="H11" s="491">
        <v>6263</v>
      </c>
      <c r="I11" s="491">
        <v>5098.7124782608726</v>
      </c>
      <c r="J11" s="491">
        <v>6312</v>
      </c>
      <c r="K11" s="491"/>
      <c r="L11" s="491">
        <v>4080.06</v>
      </c>
      <c r="M11" s="491">
        <v>6139</v>
      </c>
      <c r="N11" s="491">
        <v>6098</v>
      </c>
      <c r="O11" s="491">
        <v>6776</v>
      </c>
      <c r="P11" s="491">
        <v>5777</v>
      </c>
      <c r="Q11" s="491"/>
      <c r="R11" s="491">
        <v>7961</v>
      </c>
      <c r="S11" s="491">
        <v>7029</v>
      </c>
      <c r="T11" s="491">
        <v>7812</v>
      </c>
      <c r="U11" s="491">
        <v>9719</v>
      </c>
      <c r="V11" s="491">
        <v>8134</v>
      </c>
      <c r="W11" s="491"/>
      <c r="X11" s="491">
        <v>10405</v>
      </c>
      <c r="Y11" s="491">
        <v>12868</v>
      </c>
      <c r="Z11" s="491">
        <v>14011</v>
      </c>
      <c r="AA11" s="491">
        <v>12549</v>
      </c>
      <c r="AB11" s="491">
        <v>12468</v>
      </c>
      <c r="AC11" s="491"/>
      <c r="AD11" s="491">
        <v>12953</v>
      </c>
      <c r="AE11" s="491">
        <v>14168</v>
      </c>
      <c r="AF11" s="491">
        <v>12405</v>
      </c>
      <c r="AG11" s="491">
        <v>12636</v>
      </c>
      <c r="AH11" s="491">
        <v>13038</v>
      </c>
      <c r="AI11" s="491"/>
      <c r="AJ11" s="491">
        <v>10569</v>
      </c>
      <c r="AK11" s="491">
        <v>4874</v>
      </c>
      <c r="AL11" s="491">
        <v>9406</v>
      </c>
      <c r="AM11" s="491">
        <v>10011</v>
      </c>
      <c r="AN11" s="491">
        <v>8720</v>
      </c>
      <c r="AO11" s="491"/>
      <c r="AP11" s="491">
        <v>15697</v>
      </c>
      <c r="AQ11" s="491">
        <v>18667</v>
      </c>
      <c r="AR11" s="491">
        <v>20279</v>
      </c>
      <c r="AS11" s="491">
        <v>22364</v>
      </c>
      <c r="AT11" s="491">
        <v>19273</v>
      </c>
      <c r="AU11" s="336"/>
    </row>
    <row r="12" spans="1:47" s="16" customFormat="1" ht="15" customHeight="1" x14ac:dyDescent="0.2">
      <c r="A12" s="136" t="str">
        <f>IF(Contents!$A$1=2,"Export duty on crude oil²","Пошлины на экспорт нефти²")</f>
        <v>Пошлины на экспорт нефти²</v>
      </c>
      <c r="B12" s="280" t="str">
        <f>IF(Contents!$A$1=2,"USD/t","долл./т")</f>
        <v>долл./т</v>
      </c>
      <c r="D12" s="418">
        <v>14083</v>
      </c>
      <c r="E12" s="418"/>
      <c r="F12" s="418">
        <v>8096.87</v>
      </c>
      <c r="G12" s="418">
        <v>6867</v>
      </c>
      <c r="H12" s="418">
        <v>8104</v>
      </c>
      <c r="I12" s="418">
        <v>6085.3573006521692</v>
      </c>
      <c r="J12" s="418">
        <v>7334</v>
      </c>
      <c r="K12" s="418"/>
      <c r="L12" s="418">
        <v>4104.3599999999997</v>
      </c>
      <c r="M12" s="418">
        <v>4425</v>
      </c>
      <c r="N12" s="418">
        <v>5736</v>
      </c>
      <c r="O12" s="418">
        <v>5781</v>
      </c>
      <c r="P12" s="418">
        <v>5076</v>
      </c>
      <c r="Q12" s="418"/>
      <c r="R12" s="418">
        <v>5086</v>
      </c>
      <c r="S12" s="418">
        <v>4817</v>
      </c>
      <c r="T12" s="418">
        <v>4707</v>
      </c>
      <c r="U12" s="418">
        <v>5627</v>
      </c>
      <c r="V12" s="418">
        <v>5060</v>
      </c>
      <c r="W12" s="418"/>
      <c r="X12" s="418">
        <v>6649</v>
      </c>
      <c r="Y12" s="418">
        <v>7449</v>
      </c>
      <c r="Z12" s="418">
        <v>8840</v>
      </c>
      <c r="AA12" s="418">
        <v>9402</v>
      </c>
      <c r="AB12" s="418">
        <v>8059</v>
      </c>
      <c r="AC12" s="418"/>
      <c r="AD12" s="418">
        <v>5765</v>
      </c>
      <c r="AE12" s="418">
        <v>6723</v>
      </c>
      <c r="AF12" s="418">
        <v>6139</v>
      </c>
      <c r="AG12" s="418">
        <v>5650</v>
      </c>
      <c r="AH12" s="418">
        <v>6070</v>
      </c>
      <c r="AI12" s="418"/>
      <c r="AJ12" s="418">
        <v>4920</v>
      </c>
      <c r="AK12" s="418">
        <v>1606</v>
      </c>
      <c r="AL12" s="418">
        <v>3239</v>
      </c>
      <c r="AM12" s="418">
        <v>3294</v>
      </c>
      <c r="AN12" s="418">
        <v>3309</v>
      </c>
      <c r="AO12" s="418"/>
      <c r="AP12" s="418">
        <v>3274</v>
      </c>
      <c r="AQ12" s="418">
        <v>4236</v>
      </c>
      <c r="AR12" s="418">
        <v>4749</v>
      </c>
      <c r="AS12" s="418">
        <v>5118</v>
      </c>
      <c r="AT12" s="418">
        <v>4357</v>
      </c>
      <c r="AU12" s="152"/>
    </row>
    <row r="13" spans="1:47" s="139" customFormat="1" ht="15" customHeight="1" x14ac:dyDescent="0.2">
      <c r="A13" s="61" t="str">
        <f>IF(Contents!$A$1=2,"¹ Translated from rubles using average exchange rate for the period","¹ Пересчитано из рублей по среднему курсу за период")</f>
        <v>¹ Пересчитано из рублей по среднему курсу за период</v>
      </c>
      <c r="B13" s="275"/>
      <c r="C13" s="112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</row>
    <row r="14" spans="1:47" s="206" customFormat="1" ht="15" customHeight="1" x14ac:dyDescent="0.2">
      <c r="A14" s="61" t="str">
        <f>IF(Contents!$A$1=2,"² Translated to rubles using average exchange rate for the period","² Пересчитано в рубли по среднему курсу за период")</f>
        <v>² Пересчитано в рубли по среднему курсу за период</v>
      </c>
      <c r="B14" s="275"/>
      <c r="C14" s="112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</row>
    <row r="15" spans="1:47" s="206" customFormat="1" ht="15" customHeight="1" x14ac:dyDescent="0.2">
      <c r="A15" s="124"/>
      <c r="B15" s="275"/>
      <c r="C15" s="112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</row>
    <row r="16" spans="1:47" s="206" customFormat="1" ht="15" customHeight="1" x14ac:dyDescent="0.2">
      <c r="A16" s="39" t="str">
        <f>IF(Contents!$A$1=2,"Natural gas extraction tax rate","Ставка налога на добычу полезных ископаемых для природного газа")</f>
        <v>Ставка налога на добычу полезных ископаемых для природного газа</v>
      </c>
      <c r="B16" s="275"/>
      <c r="C16" s="112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47" s="206" customFormat="1" ht="15" customHeight="1" x14ac:dyDescent="0.2">
      <c r="A17" s="44"/>
      <c r="B17" s="275"/>
      <c r="C17" s="112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47" s="206" customFormat="1" ht="15" customHeight="1" x14ac:dyDescent="0.2">
      <c r="A18" s="75"/>
      <c r="B18" s="313"/>
      <c r="C18" s="16"/>
      <c r="D18" s="97">
        <v>2014</v>
      </c>
      <c r="E18" s="77"/>
      <c r="F18" s="98" t="str">
        <f>IF(Contents!$A$1=2,"1Q","1 кв")</f>
        <v>1 кв</v>
      </c>
      <c r="G18" s="98" t="str">
        <f>IF(Contents!$A$1=2,"2Q","2 кв")</f>
        <v>2 кв</v>
      </c>
      <c r="H18" s="98" t="str">
        <f>IF(Contents!$A$1=2,"3Q","3 кв")</f>
        <v>3 кв</v>
      </c>
      <c r="I18" s="98" t="str">
        <f>IF(Contents!$A$1=2,"4Q","4 кв")</f>
        <v>4 кв</v>
      </c>
      <c r="J18" s="97">
        <v>2015</v>
      </c>
      <c r="K18" s="77"/>
      <c r="L18" s="98" t="str">
        <f>IF(Contents!$A$1=2,"1Q","1 кв")</f>
        <v>1 кв</v>
      </c>
      <c r="M18" s="98" t="str">
        <f>IF(Contents!$A$1=2,"2Q","2 кв")</f>
        <v>2 кв</v>
      </c>
      <c r="N18" s="98" t="str">
        <f>IF(Contents!$A$1=2,"3Q","3 кв")</f>
        <v>3 кв</v>
      </c>
      <c r="O18" s="98" t="str">
        <f>IF(Contents!$A$1=2,"4Q","4 кв")</f>
        <v>4 кв</v>
      </c>
      <c r="P18" s="97">
        <v>2016</v>
      </c>
      <c r="Q18" s="77"/>
      <c r="R18" s="98" t="str">
        <f>IF(Contents!$A$1=2,"1Q","1 кв")</f>
        <v>1 кв</v>
      </c>
      <c r="S18" s="98" t="str">
        <f>IF(Contents!$A$1=2,"2Q","2 кв")</f>
        <v>2 кв</v>
      </c>
      <c r="T18" s="98" t="str">
        <f>IF(Contents!$A$1=2,"3Q","3 кв")</f>
        <v>3 кв</v>
      </c>
      <c r="U18" s="98" t="str">
        <f>IF(Contents!$A$1=2,"4Q","4 кв")</f>
        <v>4 кв</v>
      </c>
      <c r="V18" s="149">
        <v>2017</v>
      </c>
      <c r="W18" s="351"/>
      <c r="X18" s="98" t="str">
        <f>IF(Contents!$A$1=2,"1Q","1 кв")</f>
        <v>1 кв</v>
      </c>
      <c r="Y18" s="98" t="str">
        <f>IF(Contents!$A$1=2,"2Q","2 кв")</f>
        <v>2 кв</v>
      </c>
      <c r="Z18" s="98" t="str">
        <f>IF(Contents!$A$1=2,"3Q","3 кв")</f>
        <v>3 кв</v>
      </c>
      <c r="AA18" s="98" t="str">
        <f>IF(Contents!$A$1=2,"4Q","4 кв")</f>
        <v>4 кв</v>
      </c>
      <c r="AB18" s="149">
        <v>2018</v>
      </c>
      <c r="AC18" s="351"/>
      <c r="AD18" s="98" t="str">
        <f>IF(Contents!$A$1=2,"1Q","1 кв")</f>
        <v>1 кв</v>
      </c>
      <c r="AE18" s="98" t="str">
        <f>IF(Contents!$A$1=2,"2Q","2 кв")</f>
        <v>2 кв</v>
      </c>
      <c r="AF18" s="98" t="str">
        <f>IF(Contents!$A$1=2,"3Q","3 кв")</f>
        <v>3 кв</v>
      </c>
      <c r="AG18" s="98" t="str">
        <f>IF(Contents!$A$1=2,"4Q","4 кв")</f>
        <v>4 кв</v>
      </c>
      <c r="AH18" s="149">
        <v>2019</v>
      </c>
      <c r="AI18" s="351"/>
      <c r="AJ18" s="98" t="str">
        <f>IF(Contents!$A$1=2,"1Q","1 кв")</f>
        <v>1 кв</v>
      </c>
      <c r="AK18" s="98" t="str">
        <f>IF(Contents!$A$1=2,"2Q","2 кв")</f>
        <v>2 кв</v>
      </c>
      <c r="AL18" s="98" t="str">
        <f>IF(Contents!$A$1=2,"3Q","3 кв")</f>
        <v>3 кв</v>
      </c>
      <c r="AM18" s="98" t="str">
        <f>IF(Contents!$A$1=2,"4Q","4 кв")</f>
        <v>4 кв</v>
      </c>
      <c r="AN18" s="149">
        <v>2020</v>
      </c>
      <c r="AO18" s="351"/>
      <c r="AP18" s="325" t="str">
        <f>IF(Contents!$A$1=2,"1Q","1 кв")</f>
        <v>1 кв</v>
      </c>
      <c r="AQ18" s="325" t="str">
        <f>IF(Contents!$A$1=2,"2Q","2 кв")</f>
        <v>2 кв</v>
      </c>
      <c r="AR18" s="325" t="str">
        <f>IF(Contents!$A$1=2,"3Q","3 кв")</f>
        <v>3 кв</v>
      </c>
      <c r="AS18" s="325" t="str">
        <f>IF(Contents!$A$1=2,"4Q","4 кв")</f>
        <v>4 кв</v>
      </c>
      <c r="AT18" s="326">
        <v>2021</v>
      </c>
      <c r="AU18" s="351"/>
    </row>
    <row r="19" spans="1:47" s="384" customFormat="1" ht="15" customHeight="1" x14ac:dyDescent="0.2">
      <c r="A19" s="136" t="str">
        <f>IF(Contents!$A$1=2,"Nakhodkinskoye field¹","Находкинское месторождение¹")</f>
        <v>Находкинское месторождение¹</v>
      </c>
      <c r="B19" s="280" t="str">
        <f>IF(Contents!$A$1=2,"USD/th. m³","долл./тыс. м³")</f>
        <v>долл./тыс. м³</v>
      </c>
      <c r="C19" s="377"/>
      <c r="D19" s="547">
        <v>0</v>
      </c>
      <c r="E19" s="546"/>
      <c r="F19" s="547">
        <v>0</v>
      </c>
      <c r="G19" s="547">
        <v>0</v>
      </c>
      <c r="H19" s="547">
        <v>0</v>
      </c>
      <c r="I19" s="547">
        <v>0</v>
      </c>
      <c r="J19" s="547">
        <v>0</v>
      </c>
      <c r="K19" s="546"/>
      <c r="L19" s="547">
        <v>0</v>
      </c>
      <c r="M19" s="547">
        <v>0</v>
      </c>
      <c r="N19" s="547">
        <v>0</v>
      </c>
      <c r="O19" s="547">
        <v>0</v>
      </c>
      <c r="P19" s="547">
        <v>0</v>
      </c>
      <c r="Q19" s="546"/>
      <c r="R19" s="546">
        <v>4.2699999999999996</v>
      </c>
      <c r="S19" s="546">
        <v>4.34</v>
      </c>
      <c r="T19" s="546">
        <v>4.37</v>
      </c>
      <c r="U19" s="546">
        <v>4.42</v>
      </c>
      <c r="V19" s="546">
        <v>4.34</v>
      </c>
      <c r="W19" s="546"/>
      <c r="X19" s="546">
        <v>5.26</v>
      </c>
      <c r="Y19" s="546">
        <v>4.84</v>
      </c>
      <c r="Z19" s="546">
        <v>4.72</v>
      </c>
      <c r="AA19" s="546">
        <v>4.66</v>
      </c>
      <c r="AB19" s="546">
        <v>4.8600000000000003</v>
      </c>
      <c r="AC19" s="546"/>
      <c r="AD19" s="546">
        <v>5.34</v>
      </c>
      <c r="AE19" s="546">
        <v>5.47</v>
      </c>
      <c r="AF19" s="546">
        <v>5.54</v>
      </c>
      <c r="AG19" s="546">
        <v>5.62</v>
      </c>
      <c r="AH19" s="546">
        <v>5.48</v>
      </c>
      <c r="AI19" s="546"/>
      <c r="AJ19" s="546">
        <v>6.04</v>
      </c>
      <c r="AK19" s="546">
        <v>5.54</v>
      </c>
      <c r="AL19" s="546">
        <v>5.56</v>
      </c>
      <c r="AM19" s="546">
        <v>5.42</v>
      </c>
      <c r="AN19" s="546">
        <v>5.63</v>
      </c>
      <c r="AO19" s="546"/>
      <c r="AP19" s="546">
        <v>6.16</v>
      </c>
      <c r="AQ19" s="546">
        <v>6.17</v>
      </c>
      <c r="AR19" s="546">
        <v>6.42</v>
      </c>
      <c r="AS19" s="546">
        <v>6.5</v>
      </c>
      <c r="AT19" s="546">
        <v>6.31</v>
      </c>
      <c r="AU19" s="336"/>
    </row>
    <row r="20" spans="1:47" s="16" customFormat="1" ht="15" customHeight="1" x14ac:dyDescent="0.2">
      <c r="A20" s="136" t="str">
        <f>IF(Contents!$A$1=2,"Pyakyakhinskoye field","Пякяхинское месторождение")</f>
        <v>Пякяхинское месторождение</v>
      </c>
      <c r="B20" s="280" t="str">
        <f>IF(Contents!$A$1=2,"USD/th. m³","долл./тыс. м³")</f>
        <v>долл./тыс. м³</v>
      </c>
      <c r="D20" s="547">
        <v>0</v>
      </c>
      <c r="E20" s="547"/>
      <c r="F20" s="547">
        <v>0</v>
      </c>
      <c r="G20" s="547">
        <v>0</v>
      </c>
      <c r="H20" s="547">
        <v>0</v>
      </c>
      <c r="I20" s="547">
        <v>0</v>
      </c>
      <c r="J20" s="547">
        <v>0</v>
      </c>
      <c r="K20" s="547"/>
      <c r="L20" s="547">
        <v>0</v>
      </c>
      <c r="M20" s="547">
        <v>0</v>
      </c>
      <c r="N20" s="547">
        <v>0</v>
      </c>
      <c r="O20" s="547">
        <v>0</v>
      </c>
      <c r="P20" s="547">
        <v>0</v>
      </c>
      <c r="Q20" s="547"/>
      <c r="R20" s="547">
        <v>7.87</v>
      </c>
      <c r="S20" s="547">
        <v>8.06</v>
      </c>
      <c r="T20" s="547">
        <v>8.35</v>
      </c>
      <c r="U20" s="547">
        <v>8.7799999999999994</v>
      </c>
      <c r="V20" s="547">
        <v>8.2799999999999994</v>
      </c>
      <c r="W20" s="547"/>
      <c r="X20" s="547">
        <v>8.98</v>
      </c>
      <c r="Y20" s="547">
        <v>8.83</v>
      </c>
      <c r="Z20" s="547">
        <v>8.5</v>
      </c>
      <c r="AA20" s="547">
        <v>7.96</v>
      </c>
      <c r="AB20" s="547">
        <v>8.5500000000000007</v>
      </c>
      <c r="AC20" s="547"/>
      <c r="AD20" s="547">
        <v>8.23</v>
      </c>
      <c r="AE20" s="547">
        <v>8.26</v>
      </c>
      <c r="AF20" s="547">
        <v>8.16</v>
      </c>
      <c r="AG20" s="547">
        <v>8.43</v>
      </c>
      <c r="AH20" s="547">
        <v>8.26</v>
      </c>
      <c r="AI20" s="547"/>
      <c r="AJ20" s="547">
        <v>7.19</v>
      </c>
      <c r="AK20" s="547">
        <v>6.63</v>
      </c>
      <c r="AL20" s="547">
        <v>7.06</v>
      </c>
      <c r="AM20" s="547">
        <v>7.05</v>
      </c>
      <c r="AN20" s="547">
        <v>6.97</v>
      </c>
      <c r="AO20" s="547"/>
      <c r="AP20" s="547">
        <v>7.71</v>
      </c>
      <c r="AQ20" s="547">
        <v>7.9</v>
      </c>
      <c r="AR20" s="547">
        <v>5.23</v>
      </c>
      <c r="AS20" s="547">
        <v>5.4</v>
      </c>
      <c r="AT20" s="547">
        <v>6.56</v>
      </c>
      <c r="AU20" s="152"/>
    </row>
    <row r="21" spans="1:47" s="16" customFormat="1" ht="15" customHeight="1" x14ac:dyDescent="0.2">
      <c r="A21" s="136"/>
      <c r="B21" s="280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152"/>
    </row>
    <row r="22" spans="1:47" s="16" customFormat="1" ht="15" customHeight="1" x14ac:dyDescent="0.2">
      <c r="A22" s="136" t="str">
        <f>IF(Contents!$A$1=2,"Nakhodkinskoye field","Находкинское месторождение")</f>
        <v>Находкинское месторождение</v>
      </c>
      <c r="B22" s="280" t="str">
        <f>IF(Contents!$A$1=2,"RUB/th. m³","руб./тыс. м³")</f>
        <v>руб./тыс. м³</v>
      </c>
      <c r="D22" s="547">
        <v>0</v>
      </c>
      <c r="E22" s="418"/>
      <c r="F22" s="547">
        <v>0</v>
      </c>
      <c r="G22" s="547">
        <v>0</v>
      </c>
      <c r="H22" s="547">
        <v>0</v>
      </c>
      <c r="I22" s="547">
        <v>0</v>
      </c>
      <c r="J22" s="547">
        <v>0</v>
      </c>
      <c r="K22" s="418"/>
      <c r="L22" s="547">
        <v>0</v>
      </c>
      <c r="M22" s="547">
        <v>0</v>
      </c>
      <c r="N22" s="547">
        <v>0</v>
      </c>
      <c r="O22" s="547">
        <v>0</v>
      </c>
      <c r="P22" s="547">
        <v>0</v>
      </c>
      <c r="Q22" s="418"/>
      <c r="R22" s="418">
        <v>251</v>
      </c>
      <c r="S22" s="418">
        <v>248</v>
      </c>
      <c r="T22" s="418">
        <v>258</v>
      </c>
      <c r="U22" s="418">
        <v>258</v>
      </c>
      <c r="V22" s="418">
        <v>253</v>
      </c>
      <c r="W22" s="418"/>
      <c r="X22" s="418">
        <v>299</v>
      </c>
      <c r="Y22" s="418">
        <v>299</v>
      </c>
      <c r="Z22" s="418">
        <v>310</v>
      </c>
      <c r="AA22" s="418">
        <v>310</v>
      </c>
      <c r="AB22" s="418">
        <v>305</v>
      </c>
      <c r="AC22" s="418"/>
      <c r="AD22" s="418">
        <v>353</v>
      </c>
      <c r="AE22" s="418">
        <v>353</v>
      </c>
      <c r="AF22" s="418">
        <v>358</v>
      </c>
      <c r="AG22" s="418">
        <v>358</v>
      </c>
      <c r="AH22" s="418">
        <v>355</v>
      </c>
      <c r="AI22" s="418"/>
      <c r="AJ22" s="418">
        <v>401</v>
      </c>
      <c r="AK22" s="418">
        <v>401</v>
      </c>
      <c r="AL22" s="418">
        <v>409</v>
      </c>
      <c r="AM22" s="418">
        <v>413</v>
      </c>
      <c r="AN22" s="418">
        <v>406</v>
      </c>
      <c r="AO22" s="418"/>
      <c r="AP22" s="418">
        <v>458</v>
      </c>
      <c r="AQ22" s="418">
        <v>458</v>
      </c>
      <c r="AR22" s="418">
        <v>472</v>
      </c>
      <c r="AS22" s="418">
        <v>472</v>
      </c>
      <c r="AT22" s="418">
        <v>465</v>
      </c>
      <c r="AU22" s="152"/>
    </row>
    <row r="23" spans="1:47" s="384" customFormat="1" ht="15" customHeight="1" x14ac:dyDescent="0.2">
      <c r="A23" s="136" t="str">
        <f>IF(Contents!$A$1=2,"Pyakyakhinskoye field","Пякяхинское месторождение")</f>
        <v>Пякяхинское месторождение</v>
      </c>
      <c r="B23" s="280" t="str">
        <f>IF(Contents!$A$1=2,"RUB/th. m³","руб./тыс. м³")</f>
        <v>руб./тыс. м³</v>
      </c>
      <c r="C23" s="16"/>
      <c r="D23" s="547">
        <v>0</v>
      </c>
      <c r="E23" s="418"/>
      <c r="F23" s="547">
        <v>0</v>
      </c>
      <c r="G23" s="547">
        <v>0</v>
      </c>
      <c r="H23" s="547">
        <v>0</v>
      </c>
      <c r="I23" s="547">
        <v>0</v>
      </c>
      <c r="J23" s="547">
        <v>0</v>
      </c>
      <c r="K23" s="418"/>
      <c r="L23" s="547">
        <v>0</v>
      </c>
      <c r="M23" s="547">
        <v>0</v>
      </c>
      <c r="N23" s="547">
        <v>0</v>
      </c>
      <c r="O23" s="547">
        <v>0</v>
      </c>
      <c r="P23" s="547">
        <v>0</v>
      </c>
      <c r="Q23" s="418"/>
      <c r="R23" s="418">
        <v>463</v>
      </c>
      <c r="S23" s="418">
        <v>461</v>
      </c>
      <c r="T23" s="418">
        <v>493</v>
      </c>
      <c r="U23" s="418">
        <v>513</v>
      </c>
      <c r="V23" s="418">
        <v>483</v>
      </c>
      <c r="W23" s="418"/>
      <c r="X23" s="418">
        <v>511</v>
      </c>
      <c r="Y23" s="418">
        <v>546</v>
      </c>
      <c r="Z23" s="418">
        <v>557</v>
      </c>
      <c r="AA23" s="418">
        <v>529</v>
      </c>
      <c r="AB23" s="418">
        <v>536</v>
      </c>
      <c r="AC23" s="418"/>
      <c r="AD23" s="418">
        <v>544</v>
      </c>
      <c r="AE23" s="418">
        <v>533</v>
      </c>
      <c r="AF23" s="418">
        <v>527</v>
      </c>
      <c r="AG23" s="418">
        <v>537</v>
      </c>
      <c r="AH23" s="418">
        <v>535</v>
      </c>
      <c r="AI23" s="418"/>
      <c r="AJ23" s="418">
        <v>477</v>
      </c>
      <c r="AK23" s="418">
        <v>480</v>
      </c>
      <c r="AL23" s="418">
        <v>519</v>
      </c>
      <c r="AM23" s="418">
        <v>537</v>
      </c>
      <c r="AN23" s="418">
        <v>503</v>
      </c>
      <c r="AO23" s="418"/>
      <c r="AP23" s="418">
        <v>573</v>
      </c>
      <c r="AQ23" s="418">
        <v>586</v>
      </c>
      <c r="AR23" s="418">
        <v>384</v>
      </c>
      <c r="AS23" s="418">
        <v>392</v>
      </c>
      <c r="AT23" s="418">
        <v>483</v>
      </c>
      <c r="AU23" s="336"/>
    </row>
    <row r="24" spans="1:47" s="139" customFormat="1" ht="15" customHeight="1" x14ac:dyDescent="0.2">
      <c r="A24" s="61" t="str">
        <f>IF(Contents!$A$1=2,"¹ Translated from rubles using average exchange rate for the period","¹ Пересчитано из рублей по среднему курсу за период")</f>
        <v>¹ Пересчитано из рублей по среднему курсу за период</v>
      </c>
      <c r="B24" s="275"/>
      <c r="C24" s="112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</row>
    <row r="25" spans="1:47" s="206" customFormat="1" ht="15" customHeight="1" x14ac:dyDescent="0.2">
      <c r="A25" s="61"/>
      <c r="B25" s="275"/>
      <c r="C25" s="112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</row>
    <row r="26" spans="1:47" s="206" customFormat="1" ht="15" customHeight="1" x14ac:dyDescent="0.2">
      <c r="A26" s="61"/>
      <c r="B26" s="275"/>
      <c r="C26" s="112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47" ht="15" customHeight="1" x14ac:dyDescent="0.2">
      <c r="A27" s="39" t="str">
        <f>IF(Contents!$A$1=2,"Excise taxes on refined products","Акцизы на нефтепродукты")</f>
        <v>Акцизы на нефтепродукты</v>
      </c>
      <c r="B27" s="61"/>
      <c r="C27" s="5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5" customHeight="1" x14ac:dyDescent="0.25">
      <c r="A28" s="129"/>
      <c r="B28" s="61"/>
      <c r="C28" s="5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ht="15" customHeight="1" x14ac:dyDescent="0.2">
      <c r="A29" s="75"/>
      <c r="B29" s="313"/>
      <c r="C29" s="16"/>
      <c r="D29" s="97">
        <v>2014</v>
      </c>
      <c r="E29" s="77"/>
      <c r="F29" s="98" t="str">
        <f>IF(Contents!$A$1=2,"1Q","1 кв")</f>
        <v>1 кв</v>
      </c>
      <c r="G29" s="98" t="str">
        <f>IF(Contents!$A$1=2,"2Q","2 кв")</f>
        <v>2 кв</v>
      </c>
      <c r="H29" s="98" t="str">
        <f>IF(Contents!$A$1=2,"3Q","3 кв")</f>
        <v>3 кв</v>
      </c>
      <c r="I29" s="98" t="str">
        <f>IF(Contents!$A$1=2,"4Q","4 кв")</f>
        <v>4 кв</v>
      </c>
      <c r="J29" s="97">
        <v>2015</v>
      </c>
      <c r="K29" s="77"/>
      <c r="L29" s="98" t="str">
        <f>IF(Contents!$A$1=2,"1Q","1 кв")</f>
        <v>1 кв</v>
      </c>
      <c r="M29" s="98" t="str">
        <f>IF(Contents!$A$1=2,"2Q","2 кв")</f>
        <v>2 кв</v>
      </c>
      <c r="N29" s="98" t="str">
        <f>IF(Contents!$A$1=2,"3Q","3 кв")</f>
        <v>3 кв</v>
      </c>
      <c r="O29" s="98" t="str">
        <f>IF(Contents!$A$1=2,"4Q","4 кв")</f>
        <v>4 кв</v>
      </c>
      <c r="P29" s="97">
        <v>2016</v>
      </c>
      <c r="Q29" s="77"/>
      <c r="R29" s="98" t="str">
        <f>IF(Contents!$A$1=2,"1Q","1 кв")</f>
        <v>1 кв</v>
      </c>
      <c r="S29" s="98" t="str">
        <f>IF(Contents!$A$1=2,"2Q","2 кв")</f>
        <v>2 кв</v>
      </c>
      <c r="T29" s="98" t="str">
        <f>IF(Contents!$A$1=2,"3Q","3 кв")</f>
        <v>3 кв</v>
      </c>
      <c r="U29" s="98" t="str">
        <f>IF(Contents!$A$1=2,"4Q","4 кв")</f>
        <v>4 кв</v>
      </c>
      <c r="V29" s="149">
        <v>2017</v>
      </c>
      <c r="W29" s="351"/>
      <c r="X29" s="98" t="str">
        <f>IF(Contents!$A$1=2,"1Q","1 кв")</f>
        <v>1 кв</v>
      </c>
      <c r="Y29" s="98" t="str">
        <f>IF(Contents!$A$1=2,"2Q","2 кв")</f>
        <v>2 кв</v>
      </c>
      <c r="Z29" s="98" t="str">
        <f>IF(Contents!$A$1=2,"3Q","3 кв")</f>
        <v>3 кв</v>
      </c>
      <c r="AA29" s="98" t="str">
        <f>IF(Contents!$A$1=2,"4Q","4 кв")</f>
        <v>4 кв</v>
      </c>
      <c r="AB29" s="149">
        <v>2018</v>
      </c>
      <c r="AC29" s="351"/>
      <c r="AD29" s="98" t="str">
        <f>IF(Contents!$A$1=2,"1Q","1 кв")</f>
        <v>1 кв</v>
      </c>
      <c r="AE29" s="98" t="str">
        <f>IF(Contents!$A$1=2,"2Q","2 кв")</f>
        <v>2 кв</v>
      </c>
      <c r="AF29" s="98" t="str">
        <f>IF(Contents!$A$1=2,"3Q","3 кв")</f>
        <v>3 кв</v>
      </c>
      <c r="AG29" s="98" t="str">
        <f>IF(Contents!$A$1=2,"4Q","4 кв")</f>
        <v>4 кв</v>
      </c>
      <c r="AH29" s="149">
        <v>2019</v>
      </c>
      <c r="AI29" s="351"/>
      <c r="AJ29" s="98" t="str">
        <f>IF(Contents!$A$1=2,"1Q","1 кв")</f>
        <v>1 кв</v>
      </c>
      <c r="AK29" s="98" t="str">
        <f>IF(Contents!$A$1=2,"2Q","2 кв")</f>
        <v>2 кв</v>
      </c>
      <c r="AL29" s="98" t="str">
        <f>IF(Contents!$A$1=2,"3Q","3 кв")</f>
        <v>3 кв</v>
      </c>
      <c r="AM29" s="98" t="str">
        <f>IF(Contents!$A$1=2,"4Q","4 кв")</f>
        <v>4 кв</v>
      </c>
      <c r="AN29" s="149">
        <v>2020</v>
      </c>
      <c r="AO29" s="351"/>
      <c r="AP29" s="325" t="str">
        <f>IF(Contents!$A$1=2,"1Q","1 кв")</f>
        <v>1 кв</v>
      </c>
      <c r="AQ29" s="325" t="str">
        <f>IF(Contents!$A$1=2,"2Q","2 кв")</f>
        <v>2 кв</v>
      </c>
      <c r="AR29" s="325" t="str">
        <f>IF(Contents!$A$1=2,"3Q","3 кв")</f>
        <v>3 кв</v>
      </c>
      <c r="AS29" s="325" t="str">
        <f>IF(Contents!$A$1=2,"4Q","4 кв")</f>
        <v>4 кв</v>
      </c>
      <c r="AT29" s="326">
        <v>2021</v>
      </c>
      <c r="AU29" s="11"/>
    </row>
    <row r="30" spans="1:47" ht="15" customHeight="1" x14ac:dyDescent="0.2">
      <c r="A30" s="136" t="str">
        <f>IF(Contents!$A$1=2,"Gasoline","Автомобильный бензин")</f>
        <v>Автомобильный бензин</v>
      </c>
      <c r="B30" s="316"/>
      <c r="C30" s="127"/>
      <c r="D30" s="400"/>
      <c r="E30" s="401"/>
      <c r="F30" s="400"/>
      <c r="G30" s="400"/>
      <c r="H30" s="400"/>
      <c r="I30" s="400"/>
      <c r="J30" s="400"/>
      <c r="K30" s="401"/>
      <c r="L30" s="400"/>
      <c r="M30" s="400"/>
      <c r="N30" s="400"/>
      <c r="O30" s="400"/>
      <c r="P30" s="400"/>
      <c r="Q30" s="402"/>
      <c r="R30" s="400"/>
      <c r="S30" s="400"/>
      <c r="T30" s="400"/>
      <c r="U30" s="400"/>
      <c r="V30" s="400"/>
      <c r="W30" s="402"/>
      <c r="X30" s="400"/>
      <c r="Y30" s="400"/>
      <c r="Z30" s="400"/>
      <c r="AA30" s="400"/>
      <c r="AB30" s="400"/>
      <c r="AC30" s="402"/>
      <c r="AD30" s="400"/>
      <c r="AE30" s="400"/>
      <c r="AF30" s="400"/>
      <c r="AG30" s="400"/>
      <c r="AH30" s="400"/>
      <c r="AI30" s="402"/>
      <c r="AJ30" s="400"/>
      <c r="AK30" s="128"/>
      <c r="AL30" s="128"/>
      <c r="AM30" s="128"/>
      <c r="AN30" s="128"/>
      <c r="AO30" s="86"/>
      <c r="AP30" s="88"/>
      <c r="AQ30" s="88"/>
      <c r="AR30" s="88"/>
      <c r="AS30" s="88"/>
      <c r="AT30" s="11"/>
      <c r="AU30" s="11"/>
    </row>
    <row r="31" spans="1:47" ht="15" customHeight="1" x14ac:dyDescent="0.2">
      <c r="A31" s="84" t="str">
        <f>IF(Contents!$A$1=2,"Below Euro-5","ниже Евро-5")</f>
        <v>ниже Евро-5</v>
      </c>
      <c r="B31" s="271" t="str">
        <f>IF(Contents!$A$1=2,"RUB/t.","руб./т.")</f>
        <v>руб./т.</v>
      </c>
      <c r="C31" s="123"/>
      <c r="D31" s="529">
        <v>0</v>
      </c>
      <c r="E31" s="528"/>
      <c r="F31" s="529">
        <v>7300</v>
      </c>
      <c r="G31" s="529">
        <v>7300</v>
      </c>
      <c r="H31" s="529">
        <v>7300</v>
      </c>
      <c r="I31" s="529">
        <v>7300</v>
      </c>
      <c r="J31" s="529">
        <v>7300</v>
      </c>
      <c r="K31" s="528"/>
      <c r="L31" s="529">
        <v>10500</v>
      </c>
      <c r="M31" s="529">
        <v>13100</v>
      </c>
      <c r="N31" s="529">
        <v>13100</v>
      </c>
      <c r="O31" s="529">
        <v>13100</v>
      </c>
      <c r="P31" s="529">
        <v>12453.5519</v>
      </c>
      <c r="Q31" s="528"/>
      <c r="R31" s="529">
        <v>13100</v>
      </c>
      <c r="S31" s="529">
        <v>13100</v>
      </c>
      <c r="T31" s="529">
        <v>13100</v>
      </c>
      <c r="U31" s="529">
        <v>13100</v>
      </c>
      <c r="V31" s="529">
        <v>13100</v>
      </c>
      <c r="W31" s="528"/>
      <c r="X31" s="529">
        <v>13100</v>
      </c>
      <c r="Y31" s="529">
        <v>13100</v>
      </c>
      <c r="Z31" s="529">
        <v>13100</v>
      </c>
      <c r="AA31" s="529">
        <v>13100</v>
      </c>
      <c r="AB31" s="529">
        <v>13100</v>
      </c>
      <c r="AC31" s="528"/>
      <c r="AD31" s="529">
        <v>13100</v>
      </c>
      <c r="AE31" s="529">
        <v>13100</v>
      </c>
      <c r="AF31" s="529">
        <v>13100</v>
      </c>
      <c r="AG31" s="529">
        <v>13100</v>
      </c>
      <c r="AH31" s="529">
        <v>13100</v>
      </c>
      <c r="AI31" s="528"/>
      <c r="AJ31" s="529">
        <v>13100</v>
      </c>
      <c r="AK31" s="529">
        <v>13100</v>
      </c>
      <c r="AL31" s="529">
        <v>13100</v>
      </c>
      <c r="AM31" s="529">
        <v>13100</v>
      </c>
      <c r="AN31" s="529">
        <v>13100</v>
      </c>
      <c r="AO31" s="528"/>
      <c r="AP31" s="529">
        <v>13624</v>
      </c>
      <c r="AQ31" s="529">
        <v>13624</v>
      </c>
      <c r="AR31" s="529">
        <v>13624</v>
      </c>
      <c r="AS31" s="529">
        <v>13624</v>
      </c>
      <c r="AT31" s="529">
        <v>13624</v>
      </c>
      <c r="AU31" s="11"/>
    </row>
    <row r="32" spans="1:47" ht="15" customHeight="1" x14ac:dyDescent="0.2">
      <c r="A32" s="84" t="str">
        <f>IF(Contents!$A$1=2,"Euro-5","Евро-5")</f>
        <v>Евро-5</v>
      </c>
      <c r="B32" s="271" t="str">
        <f>IF(Contents!$A$1=2,"RUB/t.","руб./т.")</f>
        <v>руб./т.</v>
      </c>
      <c r="C32" s="123"/>
      <c r="D32" s="529">
        <v>6450</v>
      </c>
      <c r="E32" s="528"/>
      <c r="F32" s="529">
        <v>5530</v>
      </c>
      <c r="G32" s="529">
        <v>5530</v>
      </c>
      <c r="H32" s="529">
        <v>5530</v>
      </c>
      <c r="I32" s="529">
        <v>5530</v>
      </c>
      <c r="J32" s="529">
        <v>5530</v>
      </c>
      <c r="K32" s="528"/>
      <c r="L32" s="529">
        <v>7530</v>
      </c>
      <c r="M32" s="529">
        <v>10130</v>
      </c>
      <c r="N32" s="529">
        <v>10130</v>
      </c>
      <c r="O32" s="529">
        <v>10130</v>
      </c>
      <c r="P32" s="529">
        <v>9484</v>
      </c>
      <c r="Q32" s="528"/>
      <c r="R32" s="529">
        <v>10130</v>
      </c>
      <c r="S32" s="529">
        <v>10130</v>
      </c>
      <c r="T32" s="529">
        <v>10130</v>
      </c>
      <c r="U32" s="529">
        <v>10130</v>
      </c>
      <c r="V32" s="529">
        <v>10130</v>
      </c>
      <c r="W32" s="528"/>
      <c r="X32" s="529">
        <v>11213</v>
      </c>
      <c r="Y32" s="529">
        <v>10224</v>
      </c>
      <c r="Z32" s="529">
        <v>8213</v>
      </c>
      <c r="AA32" s="529">
        <v>8213</v>
      </c>
      <c r="AB32" s="529">
        <v>9454</v>
      </c>
      <c r="AC32" s="528"/>
      <c r="AD32" s="529">
        <v>12314</v>
      </c>
      <c r="AE32" s="529">
        <v>12314</v>
      </c>
      <c r="AF32" s="529">
        <v>12314</v>
      </c>
      <c r="AG32" s="529">
        <v>12314</v>
      </c>
      <c r="AH32" s="529">
        <v>12314</v>
      </c>
      <c r="AI32" s="528"/>
      <c r="AJ32" s="529">
        <v>12752</v>
      </c>
      <c r="AK32" s="529">
        <v>12752</v>
      </c>
      <c r="AL32" s="529">
        <v>12752</v>
      </c>
      <c r="AM32" s="529">
        <v>12752</v>
      </c>
      <c r="AN32" s="529">
        <v>12752</v>
      </c>
      <c r="AO32" s="528"/>
      <c r="AP32" s="529">
        <v>13262</v>
      </c>
      <c r="AQ32" s="529">
        <v>13262</v>
      </c>
      <c r="AR32" s="529">
        <v>13262</v>
      </c>
      <c r="AS32" s="529">
        <v>13262</v>
      </c>
      <c r="AT32" s="529">
        <v>13262</v>
      </c>
      <c r="AU32" s="11"/>
    </row>
    <row r="33" spans="1:47" ht="15" customHeight="1" x14ac:dyDescent="0.2">
      <c r="A33" s="136" t="str">
        <f>IF(Contents!$A$1=2,"Diesel fuel","Дизельное топливо")</f>
        <v>Дизельное топливо</v>
      </c>
      <c r="B33" s="271"/>
      <c r="C33" s="123"/>
      <c r="D33" s="529"/>
      <c r="E33" s="528"/>
      <c r="F33" s="529"/>
      <c r="G33" s="529"/>
      <c r="H33" s="529"/>
      <c r="I33" s="529"/>
      <c r="J33" s="529"/>
      <c r="K33" s="528"/>
      <c r="L33" s="529"/>
      <c r="M33" s="529"/>
      <c r="N33" s="529"/>
      <c r="O33" s="529"/>
      <c r="P33" s="529"/>
      <c r="Q33" s="528"/>
      <c r="R33" s="529"/>
      <c r="S33" s="529"/>
      <c r="T33" s="529"/>
      <c r="U33" s="529"/>
      <c r="V33" s="529"/>
      <c r="W33" s="528"/>
      <c r="X33" s="529"/>
      <c r="Y33" s="529"/>
      <c r="Z33" s="529"/>
      <c r="AA33" s="529"/>
      <c r="AB33" s="529"/>
      <c r="AC33" s="528"/>
      <c r="AD33" s="529"/>
      <c r="AE33" s="529"/>
      <c r="AF33" s="529"/>
      <c r="AG33" s="529"/>
      <c r="AH33" s="529"/>
      <c r="AI33" s="528"/>
      <c r="AJ33" s="529"/>
      <c r="AK33" s="529"/>
      <c r="AL33" s="529"/>
      <c r="AM33" s="529"/>
      <c r="AN33" s="529"/>
      <c r="AO33" s="528"/>
      <c r="AP33" s="529"/>
      <c r="AQ33" s="529"/>
      <c r="AR33" s="529"/>
      <c r="AS33" s="529"/>
      <c r="AT33" s="529"/>
      <c r="AU33" s="11"/>
    </row>
    <row r="34" spans="1:47" ht="15" customHeight="1" x14ac:dyDescent="0.2">
      <c r="A34" s="84" t="str">
        <f>IF(Contents!$A$1=2,"All ecological classes","все экологические классы")</f>
        <v>все экологические классы</v>
      </c>
      <c r="B34" s="271" t="str">
        <f>IF(Contents!$A$1=2,"RUB/t.","руб./т.")</f>
        <v>руб./т.</v>
      </c>
      <c r="C34" s="123"/>
      <c r="D34" s="529">
        <v>0</v>
      </c>
      <c r="E34" s="528"/>
      <c r="F34" s="529">
        <v>3450</v>
      </c>
      <c r="G34" s="529">
        <v>3450</v>
      </c>
      <c r="H34" s="529">
        <v>3450</v>
      </c>
      <c r="I34" s="529">
        <v>3450</v>
      </c>
      <c r="J34" s="529">
        <v>3450</v>
      </c>
      <c r="K34" s="528"/>
      <c r="L34" s="529">
        <v>4150</v>
      </c>
      <c r="M34" s="529">
        <v>5293</v>
      </c>
      <c r="N34" s="529">
        <v>5293</v>
      </c>
      <c r="O34" s="529">
        <v>5293</v>
      </c>
      <c r="P34" s="529">
        <v>5009</v>
      </c>
      <c r="Q34" s="528"/>
      <c r="R34" s="529">
        <v>6800</v>
      </c>
      <c r="S34" s="529">
        <v>6800</v>
      </c>
      <c r="T34" s="529">
        <v>6800</v>
      </c>
      <c r="U34" s="529">
        <v>6800</v>
      </c>
      <c r="V34" s="529">
        <v>6800</v>
      </c>
      <c r="W34" s="528"/>
      <c r="X34" s="529">
        <v>7665</v>
      </c>
      <c r="Y34" s="529">
        <v>7006</v>
      </c>
      <c r="Z34" s="529">
        <v>5665</v>
      </c>
      <c r="AA34" s="529">
        <v>5665</v>
      </c>
      <c r="AB34" s="529">
        <v>6492</v>
      </c>
      <c r="AC34" s="528"/>
      <c r="AD34" s="529">
        <v>8541</v>
      </c>
      <c r="AE34" s="529">
        <v>8541</v>
      </c>
      <c r="AF34" s="529">
        <v>8541</v>
      </c>
      <c r="AG34" s="529">
        <v>8541</v>
      </c>
      <c r="AH34" s="529">
        <v>8541</v>
      </c>
      <c r="AI34" s="528"/>
      <c r="AJ34" s="529">
        <v>8835</v>
      </c>
      <c r="AK34" s="529">
        <v>8835</v>
      </c>
      <c r="AL34" s="529">
        <v>8835</v>
      </c>
      <c r="AM34" s="529">
        <v>8835</v>
      </c>
      <c r="AN34" s="529">
        <v>8835</v>
      </c>
      <c r="AO34" s="528"/>
      <c r="AP34" s="529">
        <v>9188</v>
      </c>
      <c r="AQ34" s="529">
        <v>9188</v>
      </c>
      <c r="AR34" s="529">
        <v>9188</v>
      </c>
      <c r="AS34" s="529">
        <v>9188</v>
      </c>
      <c r="AT34" s="529">
        <v>9188</v>
      </c>
      <c r="AU34" s="11"/>
    </row>
    <row r="35" spans="1:47" ht="15" customHeight="1" x14ac:dyDescent="0.2">
      <c r="A35" s="136" t="str">
        <f>IF(Contents!$A$1=2,"Motor oils","Моторные масла ")</f>
        <v xml:space="preserve">Моторные масла </v>
      </c>
      <c r="B35" s="280" t="str">
        <f>IF(Contents!$A$1=2,"RUB/t.","руб./т.")</f>
        <v>руб./т.</v>
      </c>
      <c r="C35" s="16"/>
      <c r="D35" s="418">
        <v>8260</v>
      </c>
      <c r="E35" s="418"/>
      <c r="F35" s="418">
        <v>6500</v>
      </c>
      <c r="G35" s="418">
        <v>6500</v>
      </c>
      <c r="H35" s="418">
        <v>6500</v>
      </c>
      <c r="I35" s="418">
        <v>6500</v>
      </c>
      <c r="J35" s="418">
        <v>6500</v>
      </c>
      <c r="K35" s="418"/>
      <c r="L35" s="418">
        <v>6000</v>
      </c>
      <c r="M35" s="418">
        <v>6000</v>
      </c>
      <c r="N35" s="418">
        <v>6000</v>
      </c>
      <c r="O35" s="418">
        <v>6000</v>
      </c>
      <c r="P35" s="418">
        <v>6000</v>
      </c>
      <c r="Q35" s="418"/>
      <c r="R35" s="418">
        <v>5400</v>
      </c>
      <c r="S35" s="418">
        <v>5400</v>
      </c>
      <c r="T35" s="418">
        <v>5400</v>
      </c>
      <c r="U35" s="418">
        <v>5400</v>
      </c>
      <c r="V35" s="418">
        <v>5400</v>
      </c>
      <c r="W35" s="418"/>
      <c r="X35" s="418">
        <v>5400</v>
      </c>
      <c r="Y35" s="418">
        <v>5400</v>
      </c>
      <c r="Z35" s="418">
        <v>5400</v>
      </c>
      <c r="AA35" s="418">
        <v>5400</v>
      </c>
      <c r="AB35" s="418">
        <v>5400</v>
      </c>
      <c r="AC35" s="418"/>
      <c r="AD35" s="418">
        <v>5400</v>
      </c>
      <c r="AE35" s="418">
        <v>5400</v>
      </c>
      <c r="AF35" s="418">
        <v>5400</v>
      </c>
      <c r="AG35" s="418">
        <v>5400</v>
      </c>
      <c r="AH35" s="418">
        <v>5400</v>
      </c>
      <c r="AI35" s="418"/>
      <c r="AJ35" s="418">
        <v>5616</v>
      </c>
      <c r="AK35" s="418">
        <v>5616</v>
      </c>
      <c r="AL35" s="418">
        <v>5616</v>
      </c>
      <c r="AM35" s="418">
        <v>5616</v>
      </c>
      <c r="AN35" s="418">
        <v>5616</v>
      </c>
      <c r="AO35" s="418"/>
      <c r="AP35" s="418">
        <v>5841</v>
      </c>
      <c r="AQ35" s="418">
        <v>5841</v>
      </c>
      <c r="AR35" s="418">
        <v>5841</v>
      </c>
      <c r="AS35" s="418">
        <v>5841</v>
      </c>
      <c r="AT35" s="418">
        <v>5841</v>
      </c>
      <c r="AU35" s="11"/>
    </row>
    <row r="36" spans="1:47" s="206" customFormat="1" ht="15" customHeight="1" x14ac:dyDescent="0.2">
      <c r="A36" s="61"/>
      <c r="B36" s="308"/>
      <c r="C36" s="112"/>
      <c r="D36" s="150"/>
      <c r="E36" s="190"/>
      <c r="F36" s="150"/>
      <c r="G36" s="150"/>
      <c r="H36" s="150"/>
      <c r="I36" s="150"/>
      <c r="J36" s="150"/>
      <c r="K36" s="19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</row>
    <row r="37" spans="1:47" s="206" customFormat="1" ht="15" customHeight="1" x14ac:dyDescent="0.2">
      <c r="A37" s="61"/>
      <c r="B37" s="308"/>
      <c r="C37" s="112"/>
      <c r="D37" s="150"/>
      <c r="E37" s="190"/>
      <c r="F37" s="150"/>
      <c r="G37" s="150"/>
      <c r="H37" s="150"/>
      <c r="I37" s="150"/>
      <c r="J37" s="150"/>
      <c r="K37" s="19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</row>
    <row r="38" spans="1:47" s="206" customFormat="1" ht="15" customHeight="1" x14ac:dyDescent="0.2">
      <c r="A38" s="39" t="str">
        <f>IF(Contents!$A$1=2,"Average enacted damper coefficients","Средние значения коэффициента демпфирования")</f>
        <v>Средние значения коэффициента демпфирования</v>
      </c>
      <c r="B38" s="275"/>
      <c r="C38" s="112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1:47" s="206" customFormat="1" ht="15" customHeight="1" x14ac:dyDescent="0.2">
      <c r="A39" s="44"/>
      <c r="B39" s="275"/>
      <c r="C39" s="112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1:47" s="206" customFormat="1" ht="15" customHeight="1" x14ac:dyDescent="0.2">
      <c r="A40" s="75"/>
      <c r="B40" s="313"/>
      <c r="C40" s="16"/>
      <c r="D40" s="97">
        <v>2014</v>
      </c>
      <c r="E40" s="77"/>
      <c r="F40" s="98" t="str">
        <f>IF(Contents!$A$1=2,"1Q","1 кв")</f>
        <v>1 кв</v>
      </c>
      <c r="G40" s="98" t="str">
        <f>IF(Contents!$A$1=2,"2Q","2 кв")</f>
        <v>2 кв</v>
      </c>
      <c r="H40" s="98" t="str">
        <f>IF(Contents!$A$1=2,"3Q","3 кв")</f>
        <v>3 кв</v>
      </c>
      <c r="I40" s="98" t="str">
        <f>IF(Contents!$A$1=2,"4Q","4 кв")</f>
        <v>4 кв</v>
      </c>
      <c r="J40" s="97">
        <v>2015</v>
      </c>
      <c r="K40" s="77"/>
      <c r="L40" s="98" t="str">
        <f>IF(Contents!$A$1=2,"1Q","1 кв")</f>
        <v>1 кв</v>
      </c>
      <c r="M40" s="98" t="str">
        <f>IF(Contents!$A$1=2,"2Q","2 кв")</f>
        <v>2 кв</v>
      </c>
      <c r="N40" s="98" t="str">
        <f>IF(Contents!$A$1=2,"3Q","3 кв")</f>
        <v>3 кв</v>
      </c>
      <c r="O40" s="98" t="str">
        <f>IF(Contents!$A$1=2,"4Q","4 кв")</f>
        <v>4 кв</v>
      </c>
      <c r="P40" s="97">
        <v>2016</v>
      </c>
      <c r="Q40" s="77"/>
      <c r="R40" s="98" t="str">
        <f>IF(Contents!$A$1=2,"1Q","1 кв")</f>
        <v>1 кв</v>
      </c>
      <c r="S40" s="98" t="str">
        <f>IF(Contents!$A$1=2,"2Q","2 кв")</f>
        <v>2 кв</v>
      </c>
      <c r="T40" s="98" t="str">
        <f>IF(Contents!$A$1=2,"3Q","3 кв")</f>
        <v>3 кв</v>
      </c>
      <c r="U40" s="98" t="str">
        <f>IF(Contents!$A$1=2,"4Q","4 кв")</f>
        <v>4 кв</v>
      </c>
      <c r="V40" s="149">
        <v>2017</v>
      </c>
      <c r="W40" s="351"/>
      <c r="X40" s="98" t="str">
        <f>IF(Contents!$A$1=2,"1Q","1 кв")</f>
        <v>1 кв</v>
      </c>
      <c r="Y40" s="98" t="str">
        <f>IF(Contents!$A$1=2,"2Q","2 кв")</f>
        <v>2 кв</v>
      </c>
      <c r="Z40" s="98" t="str">
        <f>IF(Contents!$A$1=2,"3Q","3 кв")</f>
        <v>3 кв</v>
      </c>
      <c r="AA40" s="98" t="str">
        <f>IF(Contents!$A$1=2,"4Q","4 кв")</f>
        <v>4 кв</v>
      </c>
      <c r="AB40" s="149">
        <v>2018</v>
      </c>
      <c r="AC40" s="351"/>
      <c r="AD40" s="98" t="str">
        <f>IF(Contents!$A$1=2,"1Q","1 кв")</f>
        <v>1 кв</v>
      </c>
      <c r="AE40" s="98" t="str">
        <f>IF(Contents!$A$1=2,"2Q","2 кв")</f>
        <v>2 кв</v>
      </c>
      <c r="AF40" s="98" t="str">
        <f>IF(Contents!$A$1=2,"3Q","3 кв")</f>
        <v>3 кв</v>
      </c>
      <c r="AG40" s="98" t="str">
        <f>IF(Contents!$A$1=2,"4Q","4 кв")</f>
        <v>4 кв</v>
      </c>
      <c r="AH40" s="149">
        <v>2019</v>
      </c>
      <c r="AI40" s="351"/>
      <c r="AJ40" s="98" t="str">
        <f>IF(Contents!$A$1=2,"1Q","1 кв")</f>
        <v>1 кв</v>
      </c>
      <c r="AK40" s="98" t="str">
        <f>IF(Contents!$A$1=2,"2Q","2 кв")</f>
        <v>2 кв</v>
      </c>
      <c r="AL40" s="98" t="str">
        <f>IF(Contents!$A$1=2,"3Q","3 кв")</f>
        <v>3 кв</v>
      </c>
      <c r="AM40" s="98" t="str">
        <f>IF(Contents!$A$1=2,"4Q","4 кв")</f>
        <v>4 кв</v>
      </c>
      <c r="AN40" s="149">
        <v>2020</v>
      </c>
      <c r="AO40" s="351"/>
      <c r="AP40" s="325" t="str">
        <f>IF(Contents!$A$1=2,"1Q","1 кв")</f>
        <v>1 кв</v>
      </c>
      <c r="AQ40" s="325" t="str">
        <f>IF(Contents!$A$1=2,"2Q","2 кв")</f>
        <v>2 кв</v>
      </c>
      <c r="AR40" s="325" t="str">
        <f>IF(Contents!$A$1=2,"3Q","3 кв")</f>
        <v>3 кв</v>
      </c>
      <c r="AS40" s="325" t="str">
        <f>IF(Contents!$A$1=2,"4Q","4 кв")</f>
        <v>4 кв</v>
      </c>
      <c r="AT40" s="326">
        <v>2021</v>
      </c>
      <c r="AU40" s="351"/>
    </row>
    <row r="41" spans="1:47" s="384" customFormat="1" ht="15" customHeight="1" x14ac:dyDescent="0.2">
      <c r="A41" s="136" t="str">
        <f>IF(Contents!$A$1=2,"Gasoline¹","Автомобильный бензин¹")</f>
        <v>Автомобильный бензин¹</v>
      </c>
      <c r="B41" s="280" t="str">
        <f>IF(Contents!$A$1=2,"USD/t","долл./т")</f>
        <v>долл./т</v>
      </c>
      <c r="C41" s="377"/>
      <c r="D41" s="547">
        <v>0</v>
      </c>
      <c r="E41" s="546"/>
      <c r="F41" s="547">
        <v>0</v>
      </c>
      <c r="G41" s="547">
        <v>0</v>
      </c>
      <c r="H41" s="547">
        <v>0</v>
      </c>
      <c r="I41" s="547">
        <v>0</v>
      </c>
      <c r="J41" s="547">
        <v>0</v>
      </c>
      <c r="K41" s="546"/>
      <c r="L41" s="547">
        <v>0</v>
      </c>
      <c r="M41" s="547">
        <v>0</v>
      </c>
      <c r="N41" s="547">
        <v>0</v>
      </c>
      <c r="O41" s="547">
        <v>0</v>
      </c>
      <c r="P41" s="547">
        <v>0</v>
      </c>
      <c r="Q41" s="546"/>
      <c r="R41" s="547">
        <v>0</v>
      </c>
      <c r="S41" s="547">
        <v>0</v>
      </c>
      <c r="T41" s="547">
        <v>0</v>
      </c>
      <c r="U41" s="547">
        <v>0</v>
      </c>
      <c r="V41" s="547">
        <v>0</v>
      </c>
      <c r="W41" s="546"/>
      <c r="X41" s="547">
        <v>0</v>
      </c>
      <c r="Y41" s="547">
        <v>0</v>
      </c>
      <c r="Z41" s="547">
        <v>0</v>
      </c>
      <c r="AA41" s="547">
        <v>0</v>
      </c>
      <c r="AB41" s="547">
        <v>0</v>
      </c>
      <c r="AC41" s="546"/>
      <c r="AD41" s="546">
        <v>-8.24</v>
      </c>
      <c r="AE41" s="546">
        <v>107.19</v>
      </c>
      <c r="AF41" s="546">
        <v>80.64</v>
      </c>
      <c r="AG41" s="546">
        <v>47.06</v>
      </c>
      <c r="AH41" s="546">
        <v>56.52</v>
      </c>
      <c r="AI41" s="546"/>
      <c r="AJ41" s="546">
        <v>-72.989999999999995</v>
      </c>
      <c r="AK41" s="546">
        <v>-180.8</v>
      </c>
      <c r="AL41" s="546">
        <v>-61.19</v>
      </c>
      <c r="AM41" s="546">
        <v>-45.9</v>
      </c>
      <c r="AN41" s="546">
        <v>-89.65</v>
      </c>
      <c r="AO41" s="546"/>
      <c r="AP41" s="546">
        <v>48.99</v>
      </c>
      <c r="AQ41" s="546">
        <v>159.21</v>
      </c>
      <c r="AR41" s="546">
        <v>214.26</v>
      </c>
      <c r="AS41" s="546">
        <v>240.53</v>
      </c>
      <c r="AT41" s="546">
        <v>165.83</v>
      </c>
      <c r="AU41" s="336"/>
    </row>
    <row r="42" spans="1:47" s="16" customFormat="1" ht="15" customHeight="1" x14ac:dyDescent="0.2">
      <c r="A42" s="136" t="str">
        <f>IF(Contents!$A$1=2,"Diesel fuel","Дизельное топливо")</f>
        <v>Дизельное топливо</v>
      </c>
      <c r="B42" s="280" t="str">
        <f>IF(Contents!$A$1=2,"USD/t","долл./т")</f>
        <v>долл./т</v>
      </c>
      <c r="D42" s="547">
        <v>0</v>
      </c>
      <c r="E42" s="547"/>
      <c r="F42" s="547">
        <v>0</v>
      </c>
      <c r="G42" s="547">
        <v>0</v>
      </c>
      <c r="H42" s="547">
        <v>0</v>
      </c>
      <c r="I42" s="547">
        <v>0</v>
      </c>
      <c r="J42" s="547">
        <v>0</v>
      </c>
      <c r="K42" s="547"/>
      <c r="L42" s="547">
        <v>0</v>
      </c>
      <c r="M42" s="547">
        <v>0</v>
      </c>
      <c r="N42" s="547">
        <v>0</v>
      </c>
      <c r="O42" s="547">
        <v>0</v>
      </c>
      <c r="P42" s="547">
        <v>0</v>
      </c>
      <c r="Q42" s="547"/>
      <c r="R42" s="547">
        <v>0</v>
      </c>
      <c r="S42" s="547">
        <v>0</v>
      </c>
      <c r="T42" s="547">
        <v>0</v>
      </c>
      <c r="U42" s="547">
        <v>0</v>
      </c>
      <c r="V42" s="547">
        <v>0</v>
      </c>
      <c r="W42" s="547"/>
      <c r="X42" s="547">
        <v>0</v>
      </c>
      <c r="Y42" s="547">
        <v>0</v>
      </c>
      <c r="Z42" s="547">
        <v>0</v>
      </c>
      <c r="AA42" s="547">
        <v>0</v>
      </c>
      <c r="AB42" s="547">
        <v>0</v>
      </c>
      <c r="AC42" s="547"/>
      <c r="AD42" s="547">
        <v>77.459999999999994</v>
      </c>
      <c r="AE42" s="547">
        <v>83.94</v>
      </c>
      <c r="AF42" s="547">
        <v>65.7</v>
      </c>
      <c r="AG42" s="547">
        <v>64.63</v>
      </c>
      <c r="AH42" s="547">
        <v>72.930000000000007</v>
      </c>
      <c r="AI42" s="547"/>
      <c r="AJ42" s="547">
        <v>-41.23</v>
      </c>
      <c r="AK42" s="547">
        <v>-140.08000000000001</v>
      </c>
      <c r="AL42" s="547">
        <v>-74.63</v>
      </c>
      <c r="AM42" s="547">
        <v>-54.85</v>
      </c>
      <c r="AN42" s="547">
        <v>-78.06</v>
      </c>
      <c r="AO42" s="547"/>
      <c r="AP42" s="547">
        <v>15.87</v>
      </c>
      <c r="AQ42" s="547">
        <v>63.87</v>
      </c>
      <c r="AR42" s="547">
        <v>94.1</v>
      </c>
      <c r="AS42" s="547">
        <v>151.87</v>
      </c>
      <c r="AT42" s="547">
        <v>81.39</v>
      </c>
      <c r="AU42" s="152"/>
    </row>
    <row r="43" spans="1:47" s="16" customFormat="1" ht="15" customHeight="1" x14ac:dyDescent="0.2">
      <c r="A43" s="136"/>
      <c r="B43" s="280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418"/>
      <c r="AK43" s="418"/>
      <c r="AL43" s="418"/>
      <c r="AM43" s="418"/>
      <c r="AN43" s="418"/>
      <c r="AO43" s="418"/>
      <c r="AP43" s="418"/>
      <c r="AQ43" s="418"/>
      <c r="AR43" s="418"/>
      <c r="AS43" s="418"/>
      <c r="AT43" s="418"/>
      <c r="AU43" s="152"/>
    </row>
    <row r="44" spans="1:47" s="16" customFormat="1" ht="15" customHeight="1" x14ac:dyDescent="0.2">
      <c r="A44" s="136" t="str">
        <f>IF(Contents!$A$1=2,"Gasoline","Автомобильный бензин")</f>
        <v>Автомобильный бензин</v>
      </c>
      <c r="B44" s="280" t="str">
        <f>IF(Contents!$A$1=2,"RUB/t","руб./т")</f>
        <v>руб./т</v>
      </c>
      <c r="D44" s="547">
        <v>0</v>
      </c>
      <c r="E44" s="418"/>
      <c r="F44" s="547">
        <v>0</v>
      </c>
      <c r="G44" s="547">
        <v>0</v>
      </c>
      <c r="H44" s="547">
        <v>0</v>
      </c>
      <c r="I44" s="547">
        <v>0</v>
      </c>
      <c r="J44" s="547">
        <v>0</v>
      </c>
      <c r="K44" s="418"/>
      <c r="L44" s="547">
        <v>0</v>
      </c>
      <c r="M44" s="547">
        <v>0</v>
      </c>
      <c r="N44" s="547">
        <v>0</v>
      </c>
      <c r="O44" s="547">
        <v>0</v>
      </c>
      <c r="P44" s="547">
        <v>0</v>
      </c>
      <c r="Q44" s="418"/>
      <c r="R44" s="547">
        <v>0</v>
      </c>
      <c r="S44" s="547">
        <v>0</v>
      </c>
      <c r="T44" s="547">
        <v>0</v>
      </c>
      <c r="U44" s="547">
        <v>0</v>
      </c>
      <c r="V44" s="547">
        <v>0</v>
      </c>
      <c r="W44" s="418"/>
      <c r="X44" s="547">
        <v>0</v>
      </c>
      <c r="Y44" s="547">
        <v>0</v>
      </c>
      <c r="Z44" s="547">
        <v>0</v>
      </c>
      <c r="AA44" s="547">
        <v>0</v>
      </c>
      <c r="AB44" s="547">
        <v>0</v>
      </c>
      <c r="AC44" s="418"/>
      <c r="AD44" s="418">
        <v>-545</v>
      </c>
      <c r="AE44" s="418">
        <v>6920</v>
      </c>
      <c r="AF44" s="418">
        <v>5207</v>
      </c>
      <c r="AG44" s="418">
        <v>2999</v>
      </c>
      <c r="AH44" s="418">
        <v>3659</v>
      </c>
      <c r="AI44" s="418"/>
      <c r="AJ44" s="418">
        <v>-4845</v>
      </c>
      <c r="AK44" s="418">
        <v>-13083</v>
      </c>
      <c r="AL44" s="418">
        <v>-4501</v>
      </c>
      <c r="AM44" s="418">
        <v>-3498</v>
      </c>
      <c r="AN44" s="418">
        <v>-6468</v>
      </c>
      <c r="AO44" s="418"/>
      <c r="AP44" s="418">
        <v>3642</v>
      </c>
      <c r="AQ44" s="418">
        <v>11816</v>
      </c>
      <c r="AR44" s="418">
        <v>15743</v>
      </c>
      <c r="AS44" s="418">
        <v>17464</v>
      </c>
      <c r="AT44" s="418">
        <v>12214</v>
      </c>
      <c r="AU44" s="152"/>
    </row>
    <row r="45" spans="1:47" s="384" customFormat="1" ht="15" customHeight="1" x14ac:dyDescent="0.2">
      <c r="A45" s="136" t="str">
        <f>IF(Contents!$A$1=2,"Diesel fuel","Дизельное топливо")</f>
        <v>Дизельное топливо</v>
      </c>
      <c r="B45" s="280" t="str">
        <f>IF(Contents!$A$1=2,"RUB/t","руб./т")</f>
        <v>руб./т</v>
      </c>
      <c r="C45" s="16"/>
      <c r="D45" s="547">
        <v>0</v>
      </c>
      <c r="E45" s="418"/>
      <c r="F45" s="547">
        <v>0</v>
      </c>
      <c r="G45" s="547">
        <v>0</v>
      </c>
      <c r="H45" s="547">
        <v>0</v>
      </c>
      <c r="I45" s="547">
        <v>0</v>
      </c>
      <c r="J45" s="547">
        <v>0</v>
      </c>
      <c r="K45" s="418"/>
      <c r="L45" s="547">
        <v>0</v>
      </c>
      <c r="M45" s="547">
        <v>0</v>
      </c>
      <c r="N45" s="547">
        <v>0</v>
      </c>
      <c r="O45" s="547">
        <v>0</v>
      </c>
      <c r="P45" s="547">
        <v>0</v>
      </c>
      <c r="Q45" s="418"/>
      <c r="R45" s="547">
        <v>0</v>
      </c>
      <c r="S45" s="547">
        <v>0</v>
      </c>
      <c r="T45" s="547">
        <v>0</v>
      </c>
      <c r="U45" s="547">
        <v>0</v>
      </c>
      <c r="V45" s="547">
        <v>0</v>
      </c>
      <c r="W45" s="418"/>
      <c r="X45" s="547">
        <v>0</v>
      </c>
      <c r="Y45" s="547">
        <v>0</v>
      </c>
      <c r="Z45" s="547">
        <v>0</v>
      </c>
      <c r="AA45" s="547">
        <v>0</v>
      </c>
      <c r="AB45" s="547">
        <v>0</v>
      </c>
      <c r="AC45" s="418"/>
      <c r="AD45" s="418">
        <v>5122</v>
      </c>
      <c r="AE45" s="418">
        <v>5419</v>
      </c>
      <c r="AF45" s="418">
        <v>4242</v>
      </c>
      <c r="AG45" s="418">
        <v>4118</v>
      </c>
      <c r="AH45" s="418">
        <v>4721</v>
      </c>
      <c r="AI45" s="418"/>
      <c r="AJ45" s="418">
        <v>-2737</v>
      </c>
      <c r="AK45" s="418">
        <v>-10136</v>
      </c>
      <c r="AL45" s="418">
        <v>-5490</v>
      </c>
      <c r="AM45" s="418">
        <v>-4181</v>
      </c>
      <c r="AN45" s="418">
        <v>-5632</v>
      </c>
      <c r="AO45" s="418"/>
      <c r="AP45" s="418">
        <v>1180</v>
      </c>
      <c r="AQ45" s="418">
        <v>4740</v>
      </c>
      <c r="AR45" s="418">
        <v>6914</v>
      </c>
      <c r="AS45" s="418">
        <v>11027</v>
      </c>
      <c r="AT45" s="418">
        <v>5995</v>
      </c>
      <c r="AU45" s="336"/>
    </row>
    <row r="46" spans="1:47" s="139" customFormat="1" ht="15" customHeight="1" x14ac:dyDescent="0.2">
      <c r="A46" s="61" t="str">
        <f>IF(Contents!$A$1=2,"¹ Translated from rubles using average exchange rate for the period","¹ Пересчитано из рублей по среднему курсу за период")</f>
        <v>¹ Пересчитано из рублей по среднему курсу за период</v>
      </c>
      <c r="B46" s="275"/>
      <c r="C46" s="112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1:47" s="139" customFormat="1" ht="15" customHeight="1" x14ac:dyDescent="0.2">
      <c r="A47" s="61"/>
      <c r="B47" s="275"/>
      <c r="C47" s="112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1:47" ht="15" customHeight="1" x14ac:dyDescent="0.2">
      <c r="A48" s="51" t="str">
        <f>IF(Contents!$A$1=2,"Contents","Содержание")</f>
        <v>Содержание</v>
      </c>
      <c r="B48" s="51"/>
    </row>
  </sheetData>
  <conditionalFormatting sqref="A1:C1 A2:W6 A51:W1048576 AC13:AC17 A48:AB50 AT30:AW30 A7:Q7 A13:Q18 R13:W17 A12:AJ12 AX30:XFD34 AU31:AW34 B8:AJ8 A27:XFD28 AC48:XFD1048576 AV13:XFD18 AV1:XFD7 A36:XFD37 AU8:XFD12 AU29:XFD29 AV24:XFD26 AU19:XFD23 AV38:XFD40 AV46:XFD47 AU41:XFD45">
    <cfRule type="containsText" dxfId="153" priority="314" operator="containsText" text="ложь">
      <formula>NOT(ISERROR(SEARCH("ложь",A1)))</formula>
    </cfRule>
  </conditionalFormatting>
  <conditionalFormatting sqref="D1:Q1">
    <cfRule type="containsText" dxfId="152" priority="310" operator="containsText" text="ложь">
      <formula>NOT(ISERROR(SEARCH("ложь",D1)))</formula>
    </cfRule>
  </conditionalFormatting>
  <conditionalFormatting sqref="D1:Q1">
    <cfRule type="containsText" dxfId="151" priority="309" operator="containsText" text="ложь">
      <formula>NOT(ISERROR(SEARCH("ложь",D1)))</formula>
    </cfRule>
  </conditionalFormatting>
  <conditionalFormatting sqref="D1:Q1">
    <cfRule type="containsText" dxfId="150" priority="308" operator="containsText" text="ложь">
      <formula>NOT(ISERROR(SEARCH("ложь",D1)))</formula>
    </cfRule>
  </conditionalFormatting>
  <conditionalFormatting sqref="D1:Q1">
    <cfRule type="containsText" dxfId="149" priority="307" operator="containsText" text="ложь">
      <formula>NOT(ISERROR(SEARCH("ложь",D1)))</formula>
    </cfRule>
  </conditionalFormatting>
  <conditionalFormatting sqref="R7:W7">
    <cfRule type="containsText" dxfId="148" priority="306" operator="containsText" text="ложь">
      <formula>NOT(ISERROR(SEARCH("ложь",R7)))</formula>
    </cfRule>
  </conditionalFormatting>
  <conditionalFormatting sqref="R1:W1">
    <cfRule type="containsText" dxfId="147" priority="305" operator="containsText" text="ложь">
      <formula>NOT(ISERROR(SEARCH("ложь",R1)))</formula>
    </cfRule>
  </conditionalFormatting>
  <conditionalFormatting sqref="R1:W1">
    <cfRule type="containsText" dxfId="146" priority="304" operator="containsText" text="ложь">
      <formula>NOT(ISERROR(SEARCH("ложь",R1)))</formula>
    </cfRule>
  </conditionalFormatting>
  <conditionalFormatting sqref="R1:W1">
    <cfRule type="containsText" dxfId="145" priority="303" operator="containsText" text="ложь">
      <formula>NOT(ISERROR(SEARCH("ложь",R1)))</formula>
    </cfRule>
  </conditionalFormatting>
  <conditionalFormatting sqref="AC1">
    <cfRule type="containsText" dxfId="144" priority="290" operator="containsText" text="ложь">
      <formula>NOT(ISERROR(SEARCH("ложь",AC1)))</formula>
    </cfRule>
  </conditionalFormatting>
  <conditionalFormatting sqref="R18:W18">
    <cfRule type="containsText" dxfId="143" priority="301" operator="containsText" text="ложь">
      <formula>NOT(ISERROR(SEARCH("ложь",R18)))</formula>
    </cfRule>
  </conditionalFormatting>
  <conditionalFormatting sqref="X2:AB6 X13:AB17 AT13:AU17 AT2:AU2 X51:AB1048576 AT4:AU6 AU3">
    <cfRule type="containsText" dxfId="142" priority="300" operator="containsText" text="ложь">
      <formula>NOT(ISERROR(SEARCH("ложь",X2)))</formula>
    </cfRule>
  </conditionalFormatting>
  <conditionalFormatting sqref="X7:AB7 AU7">
    <cfRule type="containsText" dxfId="141" priority="299" operator="containsText" text="ложь">
      <formula>NOT(ISERROR(SEARCH("ложь",X7)))</formula>
    </cfRule>
  </conditionalFormatting>
  <conditionalFormatting sqref="X1:AB1 AU1">
    <cfRule type="containsText" dxfId="140" priority="298" operator="containsText" text="ложь">
      <formula>NOT(ISERROR(SEARCH("ложь",X1)))</formula>
    </cfRule>
  </conditionalFormatting>
  <conditionalFormatting sqref="X1:AB1 AU1">
    <cfRule type="containsText" dxfId="139" priority="297" operator="containsText" text="ложь">
      <formula>NOT(ISERROR(SEARCH("ложь",X1)))</formula>
    </cfRule>
  </conditionalFormatting>
  <conditionalFormatting sqref="X1:AB1 AU1">
    <cfRule type="containsText" dxfId="138" priority="296" operator="containsText" text="ложь">
      <formula>NOT(ISERROR(SEARCH("ложь",X1)))</formula>
    </cfRule>
  </conditionalFormatting>
  <conditionalFormatting sqref="AD1:AO1">
    <cfRule type="containsText" dxfId="137" priority="283" operator="containsText" text="ложь">
      <formula>NOT(ISERROR(SEARCH("ложь",AD1)))</formula>
    </cfRule>
  </conditionalFormatting>
  <conditionalFormatting sqref="X18:AB18 AU18">
    <cfRule type="containsText" dxfId="136" priority="294" operator="containsText" text="ложь">
      <formula>NOT(ISERROR(SEARCH("ложь",X18)))</formula>
    </cfRule>
  </conditionalFormatting>
  <conditionalFormatting sqref="AC2:AC6">
    <cfRule type="containsText" dxfId="135" priority="293" operator="containsText" text="ложь">
      <formula>NOT(ISERROR(SEARCH("ложь",AC2)))</formula>
    </cfRule>
  </conditionalFormatting>
  <conditionalFormatting sqref="AC7">
    <cfRule type="containsText" dxfId="134" priority="292" operator="containsText" text="ложь">
      <formula>NOT(ISERROR(SEARCH("ложь",AC7)))</formula>
    </cfRule>
  </conditionalFormatting>
  <conditionalFormatting sqref="AC1">
    <cfRule type="containsText" dxfId="133" priority="291" operator="containsText" text="ложь">
      <formula>NOT(ISERROR(SEARCH("ложь",AC1)))</formula>
    </cfRule>
  </conditionalFormatting>
  <conditionalFormatting sqref="AD29:AI29">
    <cfRule type="containsText" dxfId="132" priority="269" operator="containsText" text="ложь">
      <formula>NOT(ISERROR(SEARCH("ложь",AD29)))</formula>
    </cfRule>
  </conditionalFormatting>
  <conditionalFormatting sqref="AC1">
    <cfRule type="containsText" dxfId="131" priority="289" operator="containsText" text="ложь">
      <formula>NOT(ISERROR(SEARCH("ложь",AC1)))</formula>
    </cfRule>
  </conditionalFormatting>
  <conditionalFormatting sqref="A29:Q29 Q30 K30 E30 B30:C34 E32:E34 K32:K34 Q32:Q34">
    <cfRule type="containsText" dxfId="130" priority="276" operator="containsText" text="ложь">
      <formula>NOT(ISERROR(SEARCH("ложь",A29)))</formula>
    </cfRule>
  </conditionalFormatting>
  <conditionalFormatting sqref="AC18">
    <cfRule type="containsText" dxfId="129" priority="287" operator="containsText" text="ложь">
      <formula>NOT(ISERROR(SEARCH("ложь",AC18)))</formula>
    </cfRule>
  </conditionalFormatting>
  <conditionalFormatting sqref="AD13:AI17 AD2:AS2 AD4:AS6 AD3:AT3">
    <cfRule type="containsText" dxfId="128" priority="286" operator="containsText" text="ложь">
      <formula>NOT(ISERROR(SEARCH("ложь",AD2)))</formula>
    </cfRule>
  </conditionalFormatting>
  <conditionalFormatting sqref="AD7:AO7">
    <cfRule type="containsText" dxfId="127" priority="285" operator="containsText" text="ложь">
      <formula>NOT(ISERROR(SEARCH("ложь",AD7)))</formula>
    </cfRule>
  </conditionalFormatting>
  <conditionalFormatting sqref="AD1:AO1">
    <cfRule type="containsText" dxfId="126" priority="284" operator="containsText" text="ложь">
      <formula>NOT(ISERROR(SEARCH("ложь",AD1)))</formula>
    </cfRule>
  </conditionalFormatting>
  <conditionalFormatting sqref="AD1:AO1">
    <cfRule type="containsText" dxfId="125" priority="282" operator="containsText" text="ложь">
      <formula>NOT(ISERROR(SEARCH("ложь",AD1)))</formula>
    </cfRule>
  </conditionalFormatting>
  <conditionalFormatting sqref="AD18:AI18">
    <cfRule type="containsText" dxfId="124" priority="281" operator="containsText" text="ложь">
      <formula>NOT(ISERROR(SEARCH("ложь",AD18)))</formula>
    </cfRule>
  </conditionalFormatting>
  <conditionalFormatting sqref="AD30:AI30 AD32:AI34">
    <cfRule type="containsText" dxfId="123" priority="268" operator="containsText" text="ложь">
      <formula>NOT(ISERROR(SEARCH("ложь",AD30)))</formula>
    </cfRule>
  </conditionalFormatting>
  <conditionalFormatting sqref="AJ13:AS17">
    <cfRule type="containsText" dxfId="122" priority="279" operator="containsText" text="ложь">
      <formula>NOT(ISERROR(SEARCH("ложь",AJ13)))</formula>
    </cfRule>
  </conditionalFormatting>
  <conditionalFormatting sqref="AJ18:AO18">
    <cfRule type="containsText" dxfId="121" priority="278" operator="containsText" text="ложь">
      <formula>NOT(ISERROR(SEARCH("ложь",AJ18)))</formula>
    </cfRule>
  </conditionalFormatting>
  <conditionalFormatting sqref="AV35:XFD35">
    <cfRule type="containsText" dxfId="120" priority="265" operator="containsText" text="ложь">
      <formula>NOT(ISERROR(SEARCH("ложь",AV35)))</formula>
    </cfRule>
  </conditionalFormatting>
  <conditionalFormatting sqref="W30 W32:W34">
    <cfRule type="containsText" dxfId="119" priority="275" operator="containsText" text="ложь">
      <formula>NOT(ISERROR(SEARCH("ложь",W30)))</formula>
    </cfRule>
  </conditionalFormatting>
  <conditionalFormatting sqref="R29:W29">
    <cfRule type="containsText" dxfId="118" priority="274" operator="containsText" text="ложь">
      <formula>NOT(ISERROR(SEARCH("ложь",R29)))</formula>
    </cfRule>
  </conditionalFormatting>
  <conditionalFormatting sqref="X30:AB30 X32:AB34">
    <cfRule type="containsText" dxfId="117" priority="273" operator="containsText" text="ложь">
      <formula>NOT(ISERROR(SEARCH("ложь",X30)))</formula>
    </cfRule>
  </conditionalFormatting>
  <conditionalFormatting sqref="X29:AB29">
    <cfRule type="containsText" dxfId="116" priority="272" operator="containsText" text="ложь">
      <formula>NOT(ISERROR(SEARCH("ложь",X29)))</formula>
    </cfRule>
  </conditionalFormatting>
  <conditionalFormatting sqref="AC30 AC32:AC34">
    <cfRule type="containsText" dxfId="115" priority="271" operator="containsText" text="ложь">
      <formula>NOT(ISERROR(SEARCH("ложь",AC30)))</formula>
    </cfRule>
  </conditionalFormatting>
  <conditionalFormatting sqref="AC29">
    <cfRule type="containsText" dxfId="114" priority="270" operator="containsText" text="ложь">
      <formula>NOT(ISERROR(SEARCH("ложь",AC29)))</formula>
    </cfRule>
  </conditionalFormatting>
  <conditionalFormatting sqref="AJ29:AO29">
    <cfRule type="containsText" dxfId="113" priority="267" operator="containsText" text="ложь">
      <formula>NOT(ISERROR(SEARCH("ложь",AJ29)))</formula>
    </cfRule>
  </conditionalFormatting>
  <conditionalFormatting sqref="AJ30:AS30 AJ32:AJ34">
    <cfRule type="containsText" dxfId="112" priority="266" operator="containsText" text="ложь">
      <formula>NOT(ISERROR(SEARCH("ложь",AJ30)))</formula>
    </cfRule>
  </conditionalFormatting>
  <conditionalFormatting sqref="AU35">
    <cfRule type="containsText" dxfId="111" priority="264" operator="containsText" text="ложь">
      <formula>NOT(ISERROR(SEARCH("ложь",AU35)))</formula>
    </cfRule>
  </conditionalFormatting>
  <conditionalFormatting sqref="R30:V30 R32:V34">
    <cfRule type="containsText" dxfId="110" priority="225" operator="containsText" text="ложь">
      <formula>NOT(ISERROR(SEARCH("ложь",R30)))</formula>
    </cfRule>
  </conditionalFormatting>
  <conditionalFormatting sqref="L30:P30 L32:P34">
    <cfRule type="containsText" dxfId="109" priority="219" operator="containsText" text="ложь">
      <formula>NOT(ISERROR(SEARCH("ложь",L30)))</formula>
    </cfRule>
  </conditionalFormatting>
  <conditionalFormatting sqref="F30:J30 F32:J34">
    <cfRule type="containsText" dxfId="108" priority="213" operator="containsText" text="ложь">
      <formula>NOT(ISERROR(SEARCH("ложь",F30)))</formula>
    </cfRule>
  </conditionalFormatting>
  <conditionalFormatting sqref="D30 D32:D34">
    <cfRule type="containsText" dxfId="107" priority="207" operator="containsText" text="ложь">
      <formula>NOT(ISERROR(SEARCH("ложь",D30)))</formula>
    </cfRule>
  </conditionalFormatting>
  <conditionalFormatting sqref="A25:W26 AC24:AC26 B24:W24 B21:AJ21 B19:C20 E19:E20 K19:K20 Q19:AJ20 B22:C22 E22 K22 Q22:AJ22">
    <cfRule type="containsText" dxfId="106" priority="156" operator="containsText" text="ложь">
      <formula>NOT(ISERROR(SEARCH("ложь",A19)))</formula>
    </cfRule>
  </conditionalFormatting>
  <conditionalFormatting sqref="AT24:AU26 X24:AB26">
    <cfRule type="containsText" dxfId="105" priority="153" operator="containsText" text="ложь">
      <formula>NOT(ISERROR(SEARCH("ложь",X24)))</formula>
    </cfRule>
  </conditionalFormatting>
  <conditionalFormatting sqref="AD24:AI26">
    <cfRule type="containsText" dxfId="104" priority="152" operator="containsText" text="ложь">
      <formula>NOT(ISERROR(SEARCH("ложь",AD24)))</formula>
    </cfRule>
  </conditionalFormatting>
  <conditionalFormatting sqref="AJ24:AS26">
    <cfRule type="containsText" dxfId="103" priority="151" operator="containsText" text="ложь">
      <formula>NOT(ISERROR(SEARCH("ложь",AJ24)))</formula>
    </cfRule>
  </conditionalFormatting>
  <conditionalFormatting sqref="AC38:AC39 A38:Q40 R38:W39">
    <cfRule type="containsText" dxfId="102" priority="123" operator="containsText" text="ложь">
      <formula>NOT(ISERROR(SEARCH("ложь",A38)))</formula>
    </cfRule>
  </conditionalFormatting>
  <conditionalFormatting sqref="R40:W40">
    <cfRule type="containsText" dxfId="101" priority="122" operator="containsText" text="ложь">
      <formula>NOT(ISERROR(SEARCH("ложь",R40)))</formula>
    </cfRule>
  </conditionalFormatting>
  <conditionalFormatting sqref="X38:AB39 AT38:AU39">
    <cfRule type="containsText" dxfId="100" priority="121" operator="containsText" text="ложь">
      <formula>NOT(ISERROR(SEARCH("ложь",X38)))</formula>
    </cfRule>
  </conditionalFormatting>
  <conditionalFormatting sqref="X40:AB40 AU40">
    <cfRule type="containsText" dxfId="99" priority="120" operator="containsText" text="ложь">
      <formula>NOT(ISERROR(SEARCH("ложь",X40)))</formula>
    </cfRule>
  </conditionalFormatting>
  <conditionalFormatting sqref="AC40">
    <cfRule type="containsText" dxfId="98" priority="119" operator="containsText" text="ложь">
      <formula>NOT(ISERROR(SEARCH("ложь",AC40)))</formula>
    </cfRule>
  </conditionalFormatting>
  <conditionalFormatting sqref="AD38:AI39">
    <cfRule type="containsText" dxfId="97" priority="118" operator="containsText" text="ложь">
      <formula>NOT(ISERROR(SEARCH("ложь",AD38)))</formula>
    </cfRule>
  </conditionalFormatting>
  <conditionalFormatting sqref="AD40:AI40">
    <cfRule type="containsText" dxfId="96" priority="117" operator="containsText" text="ложь">
      <formula>NOT(ISERROR(SEARCH("ложь",AD40)))</formula>
    </cfRule>
  </conditionalFormatting>
  <conditionalFormatting sqref="AJ38:AS39">
    <cfRule type="containsText" dxfId="95" priority="116" operator="containsText" text="ложь">
      <formula>NOT(ISERROR(SEARCH("ложь",AJ38)))</formula>
    </cfRule>
  </conditionalFormatting>
  <conditionalFormatting sqref="AJ40:AO40">
    <cfRule type="containsText" dxfId="94" priority="115" operator="containsText" text="ложь">
      <formula>NOT(ISERROR(SEARCH("ложь",AJ40)))</formula>
    </cfRule>
  </conditionalFormatting>
  <conditionalFormatting sqref="AC46:AC47 A47:W47 B43:AJ43 B46:W46 B41:C42 E41:E42 K41:K42 Q41:Q42 W41:W42 AC41:AJ42 B44:C44 E44 K44 Q44 W44 AC44:AJ44">
    <cfRule type="containsText" dxfId="93" priority="114" operator="containsText" text="ложь">
      <formula>NOT(ISERROR(SEARCH("ложь",A41)))</formula>
    </cfRule>
  </conditionalFormatting>
  <conditionalFormatting sqref="X46:AB47 AT46:AU47">
    <cfRule type="containsText" dxfId="92" priority="111" operator="containsText" text="ложь">
      <formula>NOT(ISERROR(SEARCH("ложь",X46)))</formula>
    </cfRule>
  </conditionalFormatting>
  <conditionalFormatting sqref="AD46:AI47">
    <cfRule type="containsText" dxfId="91" priority="110" operator="containsText" text="ложь">
      <formula>NOT(ISERROR(SEARCH("ложь",AD46)))</formula>
    </cfRule>
  </conditionalFormatting>
  <conditionalFormatting sqref="AJ46:AS47">
    <cfRule type="containsText" dxfId="90" priority="109" operator="containsText" text="ложь">
      <formula>NOT(ISERROR(SEARCH("ложь",AJ46)))</formula>
    </cfRule>
  </conditionalFormatting>
  <conditionalFormatting sqref="A8">
    <cfRule type="containsText" dxfId="89" priority="101" operator="containsText" text="ложь">
      <formula>NOT(ISERROR(SEARCH("ложь",A8)))</formula>
    </cfRule>
  </conditionalFormatting>
  <conditionalFormatting sqref="B9:AJ10">
    <cfRule type="containsText" dxfId="88" priority="100" operator="containsText" text="ложь">
      <formula>NOT(ISERROR(SEARCH("ложь",B9)))</formula>
    </cfRule>
  </conditionalFormatting>
  <conditionalFormatting sqref="A9:A10">
    <cfRule type="containsText" dxfId="87" priority="97" operator="containsText" text="ложь">
      <formula>NOT(ISERROR(SEARCH("ложь",A9)))</formula>
    </cfRule>
  </conditionalFormatting>
  <conditionalFormatting sqref="A11:C11 AC11:AJ11 W11 Q11 K11 E11">
    <cfRule type="containsText" dxfId="86" priority="96" operator="containsText" text="ложь">
      <formula>NOT(ISERROR(SEARCH("ложь",A11)))</formula>
    </cfRule>
  </conditionalFormatting>
  <conditionalFormatting sqref="X11:AB11">
    <cfRule type="containsText" dxfId="85" priority="95" operator="containsText" text="ложь">
      <formula>NOT(ISERROR(SEARCH("ложь",X11)))</formula>
    </cfRule>
  </conditionalFormatting>
  <conditionalFormatting sqref="R11:V11">
    <cfRule type="containsText" dxfId="84" priority="94" operator="containsText" text="ложь">
      <formula>NOT(ISERROR(SEARCH("ложь",R11)))</formula>
    </cfRule>
  </conditionalFormatting>
  <conditionalFormatting sqref="L11:P11">
    <cfRule type="containsText" dxfId="83" priority="93" operator="containsText" text="ложь">
      <formula>NOT(ISERROR(SEARCH("ложь",L11)))</formula>
    </cfRule>
  </conditionalFormatting>
  <conditionalFormatting sqref="F11:J11">
    <cfRule type="containsText" dxfId="82" priority="92" operator="containsText" text="ложь">
      <formula>NOT(ISERROR(SEARCH("ложь",F11)))</formula>
    </cfRule>
  </conditionalFormatting>
  <conditionalFormatting sqref="D11">
    <cfRule type="containsText" dxfId="81" priority="91" operator="containsText" text="ложь">
      <formula>NOT(ISERROR(SEARCH("ложь",D11)))</formula>
    </cfRule>
  </conditionalFormatting>
  <conditionalFormatting sqref="A19:A22">
    <cfRule type="containsText" dxfId="80" priority="90" operator="containsText" text="ложь">
      <formula>NOT(ISERROR(SEARCH("ложь",A19)))</formula>
    </cfRule>
  </conditionalFormatting>
  <conditionalFormatting sqref="A24">
    <cfRule type="containsText" dxfId="79" priority="88" operator="containsText" text="ложь">
      <formula>NOT(ISERROR(SEARCH("ложь",A24)))</formula>
    </cfRule>
  </conditionalFormatting>
  <conditionalFormatting sqref="A30:A34">
    <cfRule type="containsText" dxfId="78" priority="87" operator="containsText" text="ложь">
      <formula>NOT(ISERROR(SEARCH("ложь",A30)))</formula>
    </cfRule>
  </conditionalFormatting>
  <conditionalFormatting sqref="E31 K31 Q31">
    <cfRule type="containsText" dxfId="77" priority="85" operator="containsText" text="ложь">
      <formula>NOT(ISERROR(SEARCH("ложь",E31)))</formula>
    </cfRule>
  </conditionalFormatting>
  <conditionalFormatting sqref="AD31:AI31">
    <cfRule type="containsText" dxfId="76" priority="81" operator="containsText" text="ложь">
      <formula>NOT(ISERROR(SEARCH("ложь",AD31)))</formula>
    </cfRule>
  </conditionalFormatting>
  <conditionalFormatting sqref="W31">
    <cfRule type="containsText" dxfId="75" priority="84" operator="containsText" text="ложь">
      <formula>NOT(ISERROR(SEARCH("ложь",W31)))</formula>
    </cfRule>
  </conditionalFormatting>
  <conditionalFormatting sqref="X31:AB31">
    <cfRule type="containsText" dxfId="74" priority="83" operator="containsText" text="ложь">
      <formula>NOT(ISERROR(SEARCH("ложь",X31)))</formula>
    </cfRule>
  </conditionalFormatting>
  <conditionalFormatting sqref="AC31">
    <cfRule type="containsText" dxfId="73" priority="82" operator="containsText" text="ложь">
      <formula>NOT(ISERROR(SEARCH("ложь",AC31)))</formula>
    </cfRule>
  </conditionalFormatting>
  <conditionalFormatting sqref="AJ31">
    <cfRule type="containsText" dxfId="72" priority="80" operator="containsText" text="ложь">
      <formula>NOT(ISERROR(SEARCH("ложь",AJ31)))</formula>
    </cfRule>
  </conditionalFormatting>
  <conditionalFormatting sqref="R31:V31">
    <cfRule type="containsText" dxfId="71" priority="79" operator="containsText" text="ложь">
      <formula>NOT(ISERROR(SEARCH("ложь",R31)))</formula>
    </cfRule>
  </conditionalFormatting>
  <conditionalFormatting sqref="L31:P31">
    <cfRule type="containsText" dxfId="70" priority="78" operator="containsText" text="ложь">
      <formula>NOT(ISERROR(SEARCH("ложь",L31)))</formula>
    </cfRule>
  </conditionalFormatting>
  <conditionalFormatting sqref="F31:J31">
    <cfRule type="containsText" dxfId="69" priority="77" operator="containsText" text="ложь">
      <formula>NOT(ISERROR(SEARCH("ложь",F31)))</formula>
    </cfRule>
  </conditionalFormatting>
  <conditionalFormatting sqref="D31">
    <cfRule type="containsText" dxfId="68" priority="76" operator="containsText" text="ложь">
      <formula>NOT(ISERROR(SEARCH("ложь",D31)))</formula>
    </cfRule>
  </conditionalFormatting>
  <conditionalFormatting sqref="A41:A44">
    <cfRule type="containsText" dxfId="67" priority="61" operator="containsText" text="ложь">
      <formula>NOT(ISERROR(SEARCH("ложь",A41)))</formula>
    </cfRule>
  </conditionalFormatting>
  <conditionalFormatting sqref="A46">
    <cfRule type="containsText" dxfId="66" priority="59" operator="containsText" text="ложь">
      <formula>NOT(ISERROR(SEARCH("ложь",A46)))</formula>
    </cfRule>
  </conditionalFormatting>
  <conditionalFormatting sqref="AK12:AO12 AK8:AO8">
    <cfRule type="containsText" dxfId="65" priority="58" operator="containsText" text="ложь">
      <formula>NOT(ISERROR(SEARCH("ложь",AK8)))</formula>
    </cfRule>
  </conditionalFormatting>
  <conditionalFormatting sqref="AK9:AO10">
    <cfRule type="containsText" dxfId="64" priority="57" operator="containsText" text="ложь">
      <formula>NOT(ISERROR(SEARCH("ложь",AK9)))</formula>
    </cfRule>
  </conditionalFormatting>
  <conditionalFormatting sqref="AK11:AO11">
    <cfRule type="containsText" dxfId="63" priority="56" operator="containsText" text="ложь">
      <formula>NOT(ISERROR(SEARCH("ложь",AK11)))</formula>
    </cfRule>
  </conditionalFormatting>
  <conditionalFormatting sqref="AK19:AO22">
    <cfRule type="containsText" dxfId="62" priority="55" operator="containsText" text="ложь">
      <formula>NOT(ISERROR(SEARCH("ложь",AK19)))</formula>
    </cfRule>
  </conditionalFormatting>
  <conditionalFormatting sqref="AK32:AO34">
    <cfRule type="containsText" dxfId="61" priority="53" operator="containsText" text="ложь">
      <formula>NOT(ISERROR(SEARCH("ложь",AK32)))</formula>
    </cfRule>
  </conditionalFormatting>
  <conditionalFormatting sqref="AK31:AO31">
    <cfRule type="containsText" dxfId="60" priority="52" operator="containsText" text="ложь">
      <formula>NOT(ISERROR(SEARCH("ложь",AK31)))</formula>
    </cfRule>
  </conditionalFormatting>
  <conditionalFormatting sqref="AK41:AO44">
    <cfRule type="containsText" dxfId="59" priority="50" operator="containsText" text="ложь">
      <formula>NOT(ISERROR(SEARCH("ложь",AK41)))</formula>
    </cfRule>
  </conditionalFormatting>
  <conditionalFormatting sqref="A23:C23 E23 K23 Q23:AJ23">
    <cfRule type="containsText" dxfId="58" priority="48" operator="containsText" text="ложь">
      <formula>NOT(ISERROR(SEARCH("ложь",A23)))</formula>
    </cfRule>
  </conditionalFormatting>
  <conditionalFormatting sqref="AK23:AO23">
    <cfRule type="containsText" dxfId="57" priority="47" operator="containsText" text="ложь">
      <formula>NOT(ISERROR(SEARCH("ложь",AK23)))</formula>
    </cfRule>
  </conditionalFormatting>
  <conditionalFormatting sqref="A35:AJ35">
    <cfRule type="containsText" dxfId="56" priority="46" operator="containsText" text="ложь">
      <formula>NOT(ISERROR(SEARCH("ложь",A35)))</formula>
    </cfRule>
  </conditionalFormatting>
  <conditionalFormatting sqref="AK35:AO35">
    <cfRule type="containsText" dxfId="55" priority="45" operator="containsText" text="ложь">
      <formula>NOT(ISERROR(SEARCH("ложь",AK35)))</formula>
    </cfRule>
  </conditionalFormatting>
  <conditionalFormatting sqref="A45:C45 E45 K45 Q45 W45 AC45:AJ45">
    <cfRule type="containsText" dxfId="54" priority="44" operator="containsText" text="ложь">
      <formula>NOT(ISERROR(SEARCH("ложь",A45)))</formula>
    </cfRule>
  </conditionalFormatting>
  <conditionalFormatting sqref="AK45:AO45">
    <cfRule type="containsText" dxfId="53" priority="43" operator="containsText" text="ложь">
      <formula>NOT(ISERROR(SEARCH("ложь",AK45)))</formula>
    </cfRule>
  </conditionalFormatting>
  <conditionalFormatting sqref="AP7:AT7">
    <cfRule type="containsText" dxfId="52" priority="42" operator="containsText" text="ложь">
      <formula>NOT(ISERROR(SEARCH("ложь",AP7)))</formula>
    </cfRule>
  </conditionalFormatting>
  <conditionalFormatting sqref="AP1:AT1">
    <cfRule type="containsText" dxfId="51" priority="41" operator="containsText" text="ложь">
      <formula>NOT(ISERROR(SEARCH("ложь",AP1)))</formula>
    </cfRule>
  </conditionalFormatting>
  <conditionalFormatting sqref="AP18:AT18">
    <cfRule type="containsText" dxfId="50" priority="40" operator="containsText" text="ложь">
      <formula>NOT(ISERROR(SEARCH("ложь",AP18)))</formula>
    </cfRule>
  </conditionalFormatting>
  <conditionalFormatting sqref="AP29:AT29">
    <cfRule type="containsText" dxfId="49" priority="39" operator="containsText" text="ложь">
      <formula>NOT(ISERROR(SEARCH("ложь",AP29)))</formula>
    </cfRule>
  </conditionalFormatting>
  <conditionalFormatting sqref="AP40:AT40">
    <cfRule type="containsText" dxfId="48" priority="38" operator="containsText" text="ложь">
      <formula>NOT(ISERROR(SEARCH("ложь",AP40)))</formula>
    </cfRule>
  </conditionalFormatting>
  <conditionalFormatting sqref="AP12:AQ12 AP8:AQ8">
    <cfRule type="containsText" dxfId="47" priority="37" operator="containsText" text="ложь">
      <formula>NOT(ISERROR(SEARCH("ложь",AP8)))</formula>
    </cfRule>
  </conditionalFormatting>
  <conditionalFormatting sqref="AP9:AQ10">
    <cfRule type="containsText" dxfId="46" priority="36" operator="containsText" text="ложь">
      <formula>NOT(ISERROR(SEARCH("ложь",AP9)))</formula>
    </cfRule>
  </conditionalFormatting>
  <conditionalFormatting sqref="AP11:AQ11">
    <cfRule type="containsText" dxfId="45" priority="35" operator="containsText" text="ложь">
      <formula>NOT(ISERROR(SEARCH("ложь",AP11)))</formula>
    </cfRule>
  </conditionalFormatting>
  <conditionalFormatting sqref="AP19:AQ22">
    <cfRule type="containsText" dxfId="44" priority="34" operator="containsText" text="ложь">
      <formula>NOT(ISERROR(SEARCH("ложь",AP19)))</formula>
    </cfRule>
  </conditionalFormatting>
  <conditionalFormatting sqref="AP23:AQ23">
    <cfRule type="containsText" dxfId="43" priority="33" operator="containsText" text="ложь">
      <formula>NOT(ISERROR(SEARCH("ложь",AP23)))</formula>
    </cfRule>
  </conditionalFormatting>
  <conditionalFormatting sqref="AP32:AQ34">
    <cfRule type="containsText" dxfId="42" priority="32" operator="containsText" text="ложь">
      <formula>NOT(ISERROR(SEARCH("ложь",AP32)))</formula>
    </cfRule>
  </conditionalFormatting>
  <conditionalFormatting sqref="AP31:AQ31">
    <cfRule type="containsText" dxfId="41" priority="31" operator="containsText" text="ложь">
      <formula>NOT(ISERROR(SEARCH("ложь",AP31)))</formula>
    </cfRule>
  </conditionalFormatting>
  <conditionalFormatting sqref="AP35:AQ35">
    <cfRule type="containsText" dxfId="40" priority="30" operator="containsText" text="ложь">
      <formula>NOT(ISERROR(SEARCH("ложь",AP35)))</formula>
    </cfRule>
  </conditionalFormatting>
  <conditionalFormatting sqref="AP41:AQ44">
    <cfRule type="containsText" dxfId="39" priority="29" operator="containsText" text="ложь">
      <formula>NOT(ISERROR(SEARCH("ложь",AP41)))</formula>
    </cfRule>
  </conditionalFormatting>
  <conditionalFormatting sqref="AP45:AQ45">
    <cfRule type="containsText" dxfId="38" priority="28" operator="containsText" text="ложь">
      <formula>NOT(ISERROR(SEARCH("ложь",AP45)))</formula>
    </cfRule>
  </conditionalFormatting>
  <conditionalFormatting sqref="AR12:AT12 AR8:AT8">
    <cfRule type="containsText" dxfId="37" priority="27" operator="containsText" text="ложь">
      <formula>NOT(ISERROR(SEARCH("ложь",AR8)))</formula>
    </cfRule>
  </conditionalFormatting>
  <conditionalFormatting sqref="AR9:AT10">
    <cfRule type="containsText" dxfId="36" priority="26" operator="containsText" text="ложь">
      <formula>NOT(ISERROR(SEARCH("ложь",AR9)))</formula>
    </cfRule>
  </conditionalFormatting>
  <conditionalFormatting sqref="AR11:AT11">
    <cfRule type="containsText" dxfId="35" priority="25" operator="containsText" text="ложь">
      <formula>NOT(ISERROR(SEARCH("ложь",AR11)))</formula>
    </cfRule>
  </conditionalFormatting>
  <conditionalFormatting sqref="AR19:AT22">
    <cfRule type="containsText" dxfId="34" priority="24" operator="containsText" text="ложь">
      <formula>NOT(ISERROR(SEARCH("ложь",AR19)))</formula>
    </cfRule>
  </conditionalFormatting>
  <conditionalFormatting sqref="AR23:AT23">
    <cfRule type="containsText" dxfId="33" priority="23" operator="containsText" text="ложь">
      <formula>NOT(ISERROR(SEARCH("ложь",AR23)))</formula>
    </cfRule>
  </conditionalFormatting>
  <conditionalFormatting sqref="AR32:AT34">
    <cfRule type="containsText" dxfId="32" priority="22" operator="containsText" text="ложь">
      <formula>NOT(ISERROR(SEARCH("ложь",AR32)))</formula>
    </cfRule>
  </conditionalFormatting>
  <conditionalFormatting sqref="AR31:AT31">
    <cfRule type="containsText" dxfId="31" priority="21" operator="containsText" text="ложь">
      <formula>NOT(ISERROR(SEARCH("ложь",AR31)))</formula>
    </cfRule>
  </conditionalFormatting>
  <conditionalFormatting sqref="AR35:AT35">
    <cfRule type="containsText" dxfId="30" priority="20" operator="containsText" text="ложь">
      <formula>NOT(ISERROR(SEARCH("ложь",AR35)))</formula>
    </cfRule>
  </conditionalFormatting>
  <conditionalFormatting sqref="AR41:AT44">
    <cfRule type="containsText" dxfId="29" priority="19" operator="containsText" text="ложь">
      <formula>NOT(ISERROR(SEARCH("ложь",AR41)))</formula>
    </cfRule>
  </conditionalFormatting>
  <conditionalFormatting sqref="AR45:AT45">
    <cfRule type="containsText" dxfId="28" priority="18" operator="containsText" text="ложь">
      <formula>NOT(ISERROR(SEARCH("ложь",AR45)))</formula>
    </cfRule>
  </conditionalFormatting>
  <conditionalFormatting sqref="D19:D20">
    <cfRule type="containsText" dxfId="27" priority="17" operator="containsText" text="ложь">
      <formula>NOT(ISERROR(SEARCH("ложь",D19)))</formula>
    </cfRule>
  </conditionalFormatting>
  <conditionalFormatting sqref="F19:J20">
    <cfRule type="containsText" dxfId="26" priority="16" operator="containsText" text="ложь">
      <formula>NOT(ISERROR(SEARCH("ложь",F19)))</formula>
    </cfRule>
  </conditionalFormatting>
  <conditionalFormatting sqref="L19:P20">
    <cfRule type="containsText" dxfId="25" priority="15" operator="containsText" text="ложь">
      <formula>NOT(ISERROR(SEARCH("ложь",L19)))</formula>
    </cfRule>
  </conditionalFormatting>
  <conditionalFormatting sqref="D22:D23">
    <cfRule type="containsText" dxfId="24" priority="14" operator="containsText" text="ложь">
      <formula>NOT(ISERROR(SEARCH("ложь",D22)))</formula>
    </cfRule>
  </conditionalFormatting>
  <conditionalFormatting sqref="F22:J23">
    <cfRule type="containsText" dxfId="23" priority="13" operator="containsText" text="ложь">
      <formula>NOT(ISERROR(SEARCH("ложь",F22)))</formula>
    </cfRule>
  </conditionalFormatting>
  <conditionalFormatting sqref="L22:P23">
    <cfRule type="containsText" dxfId="22" priority="12" operator="containsText" text="ложь">
      <formula>NOT(ISERROR(SEARCH("ложь",L22)))</formula>
    </cfRule>
  </conditionalFormatting>
  <conditionalFormatting sqref="D41:D42">
    <cfRule type="containsText" dxfId="21" priority="11" operator="containsText" text="ложь">
      <formula>NOT(ISERROR(SEARCH("ложь",D41)))</formula>
    </cfRule>
  </conditionalFormatting>
  <conditionalFormatting sqref="F41:J42">
    <cfRule type="containsText" dxfId="20" priority="10" operator="containsText" text="ложь">
      <formula>NOT(ISERROR(SEARCH("ложь",F41)))</formula>
    </cfRule>
  </conditionalFormatting>
  <conditionalFormatting sqref="L41:P42">
    <cfRule type="containsText" dxfId="19" priority="9" operator="containsText" text="ложь">
      <formula>NOT(ISERROR(SEARCH("ложь",L41)))</formula>
    </cfRule>
  </conditionalFormatting>
  <conditionalFormatting sqref="R41:V42">
    <cfRule type="containsText" dxfId="18" priority="8" operator="containsText" text="ложь">
      <formula>NOT(ISERROR(SEARCH("ложь",R41)))</formula>
    </cfRule>
  </conditionalFormatting>
  <conditionalFormatting sqref="X41:AB42">
    <cfRule type="containsText" dxfId="17" priority="7" operator="containsText" text="ложь">
      <formula>NOT(ISERROR(SEARCH("ложь",X41)))</formula>
    </cfRule>
  </conditionalFormatting>
  <conditionalFormatting sqref="D44:D45">
    <cfRule type="containsText" dxfId="16" priority="6" operator="containsText" text="ложь">
      <formula>NOT(ISERROR(SEARCH("ложь",D44)))</formula>
    </cfRule>
  </conditionalFormatting>
  <conditionalFormatting sqref="F44:J45">
    <cfRule type="containsText" dxfId="15" priority="5" operator="containsText" text="ложь">
      <formula>NOT(ISERROR(SEARCH("ложь",F44)))</formula>
    </cfRule>
  </conditionalFormatting>
  <conditionalFormatting sqref="L44:P45">
    <cfRule type="containsText" dxfId="14" priority="4" operator="containsText" text="ложь">
      <formula>NOT(ISERROR(SEARCH("ложь",L44)))</formula>
    </cfRule>
  </conditionalFormatting>
  <conditionalFormatting sqref="R44:V45">
    <cfRule type="containsText" dxfId="13" priority="2" operator="containsText" text="ложь">
      <formula>NOT(ISERROR(SEARCH("ложь",R44)))</formula>
    </cfRule>
  </conditionalFormatting>
  <conditionalFormatting sqref="X44:AB45">
    <cfRule type="containsText" dxfId="12" priority="1" operator="containsText" text="ложь">
      <formula>NOT(ISERROR(SEARCH("ложь",X44)))</formula>
    </cfRule>
  </conditionalFormatting>
  <hyperlinks>
    <hyperlink ref="A48" location="Contents!A1" display="Contents!A1" xr:uid="{00000000-0004-0000-0D00-000000000000}"/>
  </hyperlink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outlinePr summaryBelow="0"/>
  </sheetPr>
  <dimension ref="A1:AN131"/>
  <sheetViews>
    <sheetView showGridLines="0" workbookViewId="0">
      <pane xSplit="2" ySplit="7" topLeftCell="C8" activePane="bottomRight" state="frozen"/>
      <selection activeCell="AA1" sqref="AA1:AA1048576"/>
      <selection pane="topRight" activeCell="AA1" sqref="AA1:AA1048576"/>
      <selection pane="bottomLeft" activeCell="AA1" sqref="AA1:AA1048576"/>
      <selection pane="bottomRight"/>
    </sheetView>
  </sheetViews>
  <sheetFormatPr defaultColWidth="9.140625" defaultRowHeight="15" customHeight="1" outlineLevelRow="1" outlineLevelCol="1" x14ac:dyDescent="0.2"/>
  <cols>
    <col min="1" max="1" width="75.7109375" style="2" customWidth="1"/>
    <col min="2" max="2" width="10.7109375" style="242" customWidth="1"/>
    <col min="3" max="3" width="0.85546875" style="5" customWidth="1"/>
    <col min="4" max="4" width="10.7109375" style="2" customWidth="1"/>
    <col min="5" max="5" width="0.85546875" style="5" customWidth="1"/>
    <col min="6" max="6" width="10.7109375" style="2" customWidth="1"/>
    <col min="7" max="7" width="0.85546875" style="5" customWidth="1"/>
    <col min="8" max="8" width="11" style="2" hidden="1" customWidth="1" outlineLevel="1"/>
    <col min="9" max="10" width="10.7109375" style="2" hidden="1" customWidth="1" outlineLevel="1"/>
    <col min="11" max="11" width="10.7109375" style="2" customWidth="1" collapsed="1"/>
    <col min="12" max="12" width="0.85546875" style="2" customWidth="1"/>
    <col min="13" max="15" width="10.7109375" style="2" hidden="1" customWidth="1" outlineLevel="1"/>
    <col min="16" max="16" width="10.7109375" style="2" customWidth="1" collapsed="1"/>
    <col min="17" max="17" width="0.85546875" style="221" customWidth="1"/>
    <col min="18" max="20" width="10.7109375" style="2" hidden="1" customWidth="1" outlineLevel="1"/>
    <col min="21" max="21" width="10" style="2" customWidth="1" collapsed="1"/>
    <col min="22" max="22" width="0.85546875" style="221" customWidth="1"/>
    <col min="23" max="25" width="10.7109375" style="2" hidden="1" customWidth="1" outlineLevel="1"/>
    <col min="26" max="26" width="10" style="2" customWidth="1" collapsed="1"/>
    <col min="27" max="27" width="0.85546875" style="221" customWidth="1"/>
    <col min="28" max="30" width="10" style="2" hidden="1" customWidth="1" outlineLevel="1"/>
    <col min="31" max="31" width="10" style="2" customWidth="1" collapsed="1"/>
    <col min="32" max="32" width="0.85546875" style="221" customWidth="1"/>
    <col min="33" max="36" width="10" style="2" customWidth="1"/>
    <col min="37" max="37" width="9.140625" style="2"/>
    <col min="38" max="40" width="9.140625" style="221"/>
    <col min="41" max="16384" width="9.140625" style="2"/>
  </cols>
  <sheetData>
    <row r="1" spans="1:40" s="220" customFormat="1" ht="15" customHeight="1" x14ac:dyDescent="0.2">
      <c r="A1" s="414"/>
      <c r="B1" s="348"/>
      <c r="C1" s="34"/>
      <c r="D1" s="348"/>
      <c r="E1" s="34"/>
      <c r="F1" s="348"/>
      <c r="G1" s="34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</row>
    <row r="2" spans="1:40" s="20" customFormat="1" ht="15" customHeight="1" x14ac:dyDescent="0.25">
      <c r="A2" s="335" t="str">
        <f>IF(Contents!$A$1=2,"CONSOLIDATED STATEMENT OF FINANCIAL POSITION","КОНСОЛИДИРОВАННЫЙ ОТЧЕТ О ФИНАНСОВОМ ПОЛОЖЕНИИ")</f>
        <v>КОНСОЛИДИРОВАННЫЙ ОТЧЕТ О ФИНАНСОВОМ ПОЛОЖЕНИИ</v>
      </c>
      <c r="B2" s="244"/>
      <c r="C2" s="59"/>
      <c r="E2" s="34"/>
      <c r="G2" s="34"/>
      <c r="Q2" s="220"/>
      <c r="V2" s="220"/>
      <c r="AA2" s="220"/>
      <c r="AF2" s="220"/>
      <c r="AL2" s="224"/>
      <c r="AM2" s="224"/>
      <c r="AN2" s="220"/>
    </row>
    <row r="3" spans="1:40" s="20" customFormat="1" ht="15" customHeight="1" thickBot="1" x14ac:dyDescent="0.3">
      <c r="A3" s="132"/>
      <c r="B3" s="245"/>
      <c r="C3" s="60"/>
      <c r="D3" s="31"/>
      <c r="E3" s="60"/>
      <c r="F3" s="31"/>
      <c r="G3" s="60"/>
      <c r="H3" s="31"/>
      <c r="I3" s="31"/>
      <c r="J3" s="31"/>
      <c r="K3" s="31"/>
      <c r="L3" s="31"/>
      <c r="M3" s="31"/>
      <c r="N3" s="31"/>
      <c r="O3" s="31"/>
      <c r="P3" s="31"/>
      <c r="Q3" s="60"/>
      <c r="R3" s="31"/>
      <c r="S3" s="31"/>
      <c r="T3" s="31"/>
      <c r="U3" s="31"/>
      <c r="V3" s="60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L3" s="224"/>
      <c r="AM3" s="224"/>
      <c r="AN3" s="220"/>
    </row>
    <row r="4" spans="1:40" s="20" customFormat="1" ht="15" customHeight="1" thickTop="1" x14ac:dyDescent="0.25">
      <c r="B4" s="242"/>
      <c r="C4" s="34"/>
      <c r="E4" s="34"/>
      <c r="G4" s="34"/>
      <c r="Q4" s="220"/>
      <c r="V4" s="220"/>
      <c r="AA4" s="220"/>
      <c r="AF4" s="220"/>
      <c r="AK4" s="2"/>
      <c r="AL4" s="224"/>
      <c r="AM4" s="224"/>
      <c r="AN4" s="220"/>
    </row>
    <row r="5" spans="1:40" ht="15" customHeight="1" x14ac:dyDescent="0.25">
      <c r="A5" s="39" t="str">
        <f>IF(Contents!$A$1=2,"Consolidated Statement of Financial Position","Консолидированный отчет о финансовом положении")</f>
        <v>Консолидированный отчет о финансовом положении</v>
      </c>
      <c r="B5" s="244"/>
      <c r="K5" s="19"/>
      <c r="L5" s="19"/>
      <c r="M5" s="19"/>
      <c r="N5" s="19"/>
      <c r="O5" s="19"/>
      <c r="P5" s="19"/>
      <c r="Q5" s="233"/>
      <c r="R5" s="19"/>
      <c r="S5" s="19"/>
      <c r="T5" s="19"/>
      <c r="V5" s="233"/>
      <c r="W5" s="19"/>
      <c r="X5" s="19"/>
      <c r="Y5" s="19"/>
      <c r="AL5" s="224"/>
      <c r="AM5" s="224"/>
    </row>
    <row r="6" spans="1:40" ht="15" customHeight="1" x14ac:dyDescent="0.25">
      <c r="A6" s="37"/>
      <c r="B6" s="246"/>
      <c r="K6" s="19"/>
      <c r="L6" s="19"/>
      <c r="M6" s="19"/>
      <c r="N6" s="19"/>
      <c r="O6" s="19"/>
      <c r="P6" s="19"/>
      <c r="Q6" s="233"/>
      <c r="R6" s="19"/>
      <c r="S6" s="19"/>
      <c r="T6" s="19"/>
      <c r="V6" s="233"/>
      <c r="W6" s="19"/>
      <c r="X6" s="19"/>
      <c r="Y6" s="19"/>
      <c r="AK6" s="206"/>
      <c r="AL6" s="224"/>
      <c r="AM6" s="224"/>
    </row>
    <row r="7" spans="1:40" s="1" customFormat="1" ht="15" customHeight="1" x14ac:dyDescent="0.25">
      <c r="A7" s="75"/>
      <c r="B7" s="243"/>
      <c r="C7" s="16"/>
      <c r="D7" s="331">
        <v>42004</v>
      </c>
      <c r="E7" s="332"/>
      <c r="F7" s="331">
        <v>42369</v>
      </c>
      <c r="G7" s="324"/>
      <c r="H7" s="333">
        <v>42460</v>
      </c>
      <c r="I7" s="333">
        <v>42551</v>
      </c>
      <c r="J7" s="333">
        <v>42643</v>
      </c>
      <c r="K7" s="331">
        <v>42735</v>
      </c>
      <c r="L7" s="334"/>
      <c r="M7" s="333">
        <v>42825</v>
      </c>
      <c r="N7" s="333">
        <v>42916</v>
      </c>
      <c r="O7" s="333">
        <v>43008</v>
      </c>
      <c r="P7" s="331">
        <v>43100</v>
      </c>
      <c r="Q7" s="334"/>
      <c r="R7" s="333">
        <v>43190</v>
      </c>
      <c r="S7" s="333">
        <v>43281</v>
      </c>
      <c r="T7" s="333">
        <v>43373</v>
      </c>
      <c r="U7" s="331">
        <v>43465</v>
      </c>
      <c r="V7" s="334"/>
      <c r="W7" s="333">
        <v>43555</v>
      </c>
      <c r="X7" s="333">
        <v>43646</v>
      </c>
      <c r="Y7" s="333">
        <v>43738</v>
      </c>
      <c r="Z7" s="331">
        <v>43830</v>
      </c>
      <c r="AA7" s="334"/>
      <c r="AB7" s="333">
        <v>43921</v>
      </c>
      <c r="AC7" s="333">
        <v>44012</v>
      </c>
      <c r="AD7" s="333">
        <v>44104</v>
      </c>
      <c r="AE7" s="331">
        <v>44196</v>
      </c>
      <c r="AF7" s="334"/>
      <c r="AG7" s="333">
        <v>44286</v>
      </c>
      <c r="AH7" s="333">
        <v>44377</v>
      </c>
      <c r="AI7" s="333">
        <v>44469</v>
      </c>
      <c r="AJ7" s="331">
        <v>44561</v>
      </c>
      <c r="AK7" s="206"/>
      <c r="AL7" s="224"/>
      <c r="AM7" s="224"/>
      <c r="AN7" s="222"/>
    </row>
    <row r="8" spans="1:40" s="1" customFormat="1" ht="15" customHeight="1" x14ac:dyDescent="0.25">
      <c r="A8" s="78" t="str">
        <f>IF(Contents!$A$1=2,"Assets","Активы")</f>
        <v>Активы</v>
      </c>
      <c r="B8" s="248"/>
      <c r="C8" s="79"/>
      <c r="D8" s="219"/>
      <c r="E8" s="86"/>
      <c r="F8" s="85"/>
      <c r="G8" s="86"/>
      <c r="H8" s="85"/>
      <c r="I8" s="85"/>
      <c r="J8" s="85"/>
      <c r="K8" s="85"/>
      <c r="L8" s="230"/>
      <c r="M8" s="85"/>
      <c r="N8" s="85"/>
      <c r="O8" s="85"/>
      <c r="P8" s="85"/>
      <c r="Q8" s="230"/>
      <c r="R8" s="85"/>
      <c r="S8" s="85"/>
      <c r="T8" s="85"/>
      <c r="U8" s="85"/>
      <c r="V8" s="230"/>
      <c r="W8" s="85"/>
      <c r="X8" s="85"/>
      <c r="Y8" s="85"/>
      <c r="Z8" s="85"/>
      <c r="AA8" s="230"/>
      <c r="AB8" s="85"/>
      <c r="AC8" s="85"/>
      <c r="AD8" s="85"/>
      <c r="AE8" s="85"/>
      <c r="AF8" s="230"/>
      <c r="AG8" s="85"/>
      <c r="AH8" s="85"/>
      <c r="AI8" s="85"/>
      <c r="AJ8" s="85"/>
      <c r="AK8" s="206"/>
      <c r="AL8" s="224"/>
      <c r="AM8" s="224"/>
      <c r="AN8" s="222"/>
    </row>
    <row r="9" spans="1:40" s="1" customFormat="1" ht="15" customHeight="1" x14ac:dyDescent="0.25">
      <c r="A9" s="81" t="str">
        <f>IF(Contents!$A$1=2,"Current assets","Оборотные активы")</f>
        <v>Оборотные активы</v>
      </c>
      <c r="B9" s="248"/>
      <c r="C9" s="82"/>
      <c r="D9" s="85"/>
      <c r="E9" s="86"/>
      <c r="F9" s="85"/>
      <c r="G9" s="86"/>
      <c r="H9" s="85"/>
      <c r="I9" s="85"/>
      <c r="J9" s="85"/>
      <c r="K9" s="85"/>
      <c r="L9" s="230"/>
      <c r="M9" s="85"/>
      <c r="N9" s="85"/>
      <c r="O9" s="85"/>
      <c r="P9" s="85"/>
      <c r="Q9" s="230"/>
      <c r="R9" s="85"/>
      <c r="S9" s="85"/>
      <c r="T9" s="85"/>
      <c r="U9" s="85"/>
      <c r="V9" s="230"/>
      <c r="W9" s="85"/>
      <c r="X9" s="85"/>
      <c r="Y9" s="85"/>
      <c r="Z9" s="85"/>
      <c r="AA9" s="230"/>
      <c r="AB9" s="85"/>
      <c r="AC9" s="85"/>
      <c r="AD9" s="85"/>
      <c r="AE9" s="85"/>
      <c r="AF9" s="230"/>
      <c r="AG9" s="85"/>
      <c r="AH9" s="85"/>
      <c r="AI9" s="85"/>
      <c r="AJ9" s="85"/>
      <c r="AK9" s="206"/>
      <c r="AL9" s="224"/>
      <c r="AM9" s="224"/>
      <c r="AN9" s="222"/>
    </row>
    <row r="10" spans="1:40" s="1" customFormat="1" ht="15" customHeight="1" collapsed="1" x14ac:dyDescent="0.25">
      <c r="A10" s="83" t="str">
        <f>IF(Contents!$A$1=2,"Cash and cash equivalents","Денежные средства и их эквиваленты")</f>
        <v>Денежные средства и их эквиваленты</v>
      </c>
      <c r="B10" s="248" t="str">
        <f>IF(Contents!$A$1=2,"mln RUB","млн руб.")</f>
        <v>млн руб.</v>
      </c>
      <c r="C10" s="84"/>
      <c r="D10" s="465">
        <v>169023</v>
      </c>
      <c r="E10" s="418"/>
      <c r="F10" s="429">
        <v>257263</v>
      </c>
      <c r="G10" s="418"/>
      <c r="H10" s="429">
        <v>314494</v>
      </c>
      <c r="I10" s="429">
        <v>346703</v>
      </c>
      <c r="J10" s="429">
        <v>345175</v>
      </c>
      <c r="K10" s="429">
        <v>261367</v>
      </c>
      <c r="L10" s="430"/>
      <c r="M10" s="429">
        <v>196451</v>
      </c>
      <c r="N10" s="429">
        <v>299676</v>
      </c>
      <c r="O10" s="429">
        <v>293491</v>
      </c>
      <c r="P10" s="429">
        <v>330390</v>
      </c>
      <c r="Q10" s="430"/>
      <c r="R10" s="429">
        <v>296755</v>
      </c>
      <c r="S10" s="429">
        <v>339209</v>
      </c>
      <c r="T10" s="429">
        <v>371791</v>
      </c>
      <c r="U10" s="429">
        <v>492650</v>
      </c>
      <c r="V10" s="430"/>
      <c r="W10" s="429">
        <v>444494</v>
      </c>
      <c r="X10" s="429">
        <v>506116</v>
      </c>
      <c r="Y10" s="429">
        <v>447168</v>
      </c>
      <c r="Z10" s="429">
        <v>516032</v>
      </c>
      <c r="AA10" s="430"/>
      <c r="AB10" s="429">
        <v>500653</v>
      </c>
      <c r="AC10" s="429">
        <v>616207</v>
      </c>
      <c r="AD10" s="429">
        <v>443975</v>
      </c>
      <c r="AE10" s="429">
        <v>343832</v>
      </c>
      <c r="AF10" s="430"/>
      <c r="AG10" s="429">
        <v>489180</v>
      </c>
      <c r="AH10" s="429">
        <v>555269</v>
      </c>
      <c r="AI10" s="429">
        <v>627117</v>
      </c>
      <c r="AJ10" s="429">
        <v>677482</v>
      </c>
      <c r="AK10" s="162"/>
      <c r="AL10" s="224"/>
      <c r="AM10" s="224"/>
      <c r="AN10" s="222"/>
    </row>
    <row r="11" spans="1:40" s="162" customFormat="1" ht="15" hidden="1" customHeight="1" outlineLevel="1" x14ac:dyDescent="0.25">
      <c r="A11" s="163" t="str">
        <f>IF(Contents!$A$1=2,"Cash held in RUB","Денежные средства в российских рублях")</f>
        <v>Денежные средства в российских рублях</v>
      </c>
      <c r="B11" s="249" t="str">
        <f>IF(Contents!$A$1=2,"mln RUB","млн руб.")</f>
        <v>млн руб.</v>
      </c>
      <c r="C11" s="164"/>
      <c r="D11" s="419">
        <v>55453</v>
      </c>
      <c r="E11" s="466"/>
      <c r="F11" s="419">
        <v>98253</v>
      </c>
      <c r="G11" s="466"/>
      <c r="H11" s="419">
        <v>37979</v>
      </c>
      <c r="I11" s="419">
        <v>34135</v>
      </c>
      <c r="J11" s="419">
        <v>39665</v>
      </c>
      <c r="K11" s="419">
        <v>33151</v>
      </c>
      <c r="L11" s="431"/>
      <c r="M11" s="419">
        <v>15741</v>
      </c>
      <c r="N11" s="419">
        <v>44978</v>
      </c>
      <c r="O11" s="419">
        <v>62696</v>
      </c>
      <c r="P11" s="419">
        <v>70611</v>
      </c>
      <c r="Q11" s="431"/>
      <c r="R11" s="419">
        <v>66035</v>
      </c>
      <c r="S11" s="419">
        <v>104040</v>
      </c>
      <c r="T11" s="419">
        <v>82839</v>
      </c>
      <c r="U11" s="419">
        <v>201073</v>
      </c>
      <c r="V11" s="431"/>
      <c r="W11" s="419">
        <v>56216</v>
      </c>
      <c r="X11" s="419">
        <v>214577</v>
      </c>
      <c r="Y11" s="419">
        <v>61884</v>
      </c>
      <c r="Z11" s="419">
        <v>189055</v>
      </c>
      <c r="AA11" s="431"/>
      <c r="AB11" s="419">
        <v>38539</v>
      </c>
      <c r="AC11" s="419">
        <v>249119</v>
      </c>
      <c r="AD11" s="419">
        <v>28851</v>
      </c>
      <c r="AE11" s="419">
        <v>16537</v>
      </c>
      <c r="AF11" s="431"/>
      <c r="AG11" s="419">
        <v>34998</v>
      </c>
      <c r="AH11" s="419">
        <v>188679</v>
      </c>
      <c r="AI11" s="419">
        <v>129842</v>
      </c>
      <c r="AJ11" s="419">
        <v>70508</v>
      </c>
      <c r="AL11" s="224"/>
      <c r="AM11" s="224"/>
      <c r="AN11" s="222"/>
    </row>
    <row r="12" spans="1:40" s="162" customFormat="1" ht="15" hidden="1" customHeight="1" outlineLevel="1" x14ac:dyDescent="0.25">
      <c r="A12" s="163" t="str">
        <f>IF(Contents!$A$1=2,"Cash held in US dollars","Денежные средства в долларах США")</f>
        <v>Денежные средства в долларах США</v>
      </c>
      <c r="B12" s="249" t="str">
        <f>IF(Contents!$A$1=2,"mln RUB","млн руб.")</f>
        <v>млн руб.</v>
      </c>
      <c r="C12" s="164"/>
      <c r="D12" s="419">
        <v>75572</v>
      </c>
      <c r="E12" s="466"/>
      <c r="F12" s="419">
        <v>141863</v>
      </c>
      <c r="G12" s="466"/>
      <c r="H12" s="419">
        <v>256739</v>
      </c>
      <c r="I12" s="419">
        <v>283745</v>
      </c>
      <c r="J12" s="419">
        <v>253251</v>
      </c>
      <c r="K12" s="419">
        <v>162673</v>
      </c>
      <c r="L12" s="431"/>
      <c r="M12" s="419">
        <v>165401</v>
      </c>
      <c r="N12" s="419">
        <v>238942</v>
      </c>
      <c r="O12" s="419">
        <v>209160</v>
      </c>
      <c r="P12" s="419">
        <v>239405</v>
      </c>
      <c r="Q12" s="431"/>
      <c r="R12" s="419">
        <v>209430</v>
      </c>
      <c r="S12" s="419">
        <v>212224</v>
      </c>
      <c r="T12" s="419">
        <v>263177</v>
      </c>
      <c r="U12" s="419">
        <v>264538</v>
      </c>
      <c r="V12" s="431"/>
      <c r="W12" s="419">
        <v>360463</v>
      </c>
      <c r="X12" s="419">
        <v>267454</v>
      </c>
      <c r="Y12" s="419">
        <v>355566</v>
      </c>
      <c r="Z12" s="419">
        <v>303046</v>
      </c>
      <c r="AA12" s="431"/>
      <c r="AB12" s="419">
        <v>434038</v>
      </c>
      <c r="AC12" s="419">
        <v>324322</v>
      </c>
      <c r="AD12" s="419">
        <v>368948</v>
      </c>
      <c r="AE12" s="419">
        <v>256841</v>
      </c>
      <c r="AF12" s="431"/>
      <c r="AG12" s="419">
        <v>392626</v>
      </c>
      <c r="AH12" s="419">
        <v>312904</v>
      </c>
      <c r="AI12" s="419">
        <v>434375</v>
      </c>
      <c r="AJ12" s="419">
        <v>526807</v>
      </c>
      <c r="AL12" s="224"/>
      <c r="AM12" s="224"/>
      <c r="AN12" s="225"/>
    </row>
    <row r="13" spans="1:40" s="162" customFormat="1" ht="15" hidden="1" customHeight="1" outlineLevel="1" x14ac:dyDescent="0.25">
      <c r="A13" s="163" t="str">
        <f>IF(Contents!$A$1=2,"Cash held in EUR","Денежные средства в евро")</f>
        <v>Денежные средства в евро</v>
      </c>
      <c r="B13" s="249" t="str">
        <f>IF(Contents!$A$1=2,"mln RUB","млн руб.")</f>
        <v>млн руб.</v>
      </c>
      <c r="C13" s="164"/>
      <c r="D13" s="419">
        <v>0</v>
      </c>
      <c r="E13" s="466"/>
      <c r="F13" s="419">
        <v>0</v>
      </c>
      <c r="G13" s="466"/>
      <c r="H13" s="419">
        <v>0</v>
      </c>
      <c r="I13" s="419">
        <v>0</v>
      </c>
      <c r="J13" s="419">
        <v>0</v>
      </c>
      <c r="K13" s="419">
        <v>59135</v>
      </c>
      <c r="L13" s="431"/>
      <c r="M13" s="419">
        <v>8399</v>
      </c>
      <c r="N13" s="419">
        <v>9291</v>
      </c>
      <c r="O13" s="419">
        <v>13406</v>
      </c>
      <c r="P13" s="419">
        <v>13490</v>
      </c>
      <c r="Q13" s="431"/>
      <c r="R13" s="419">
        <v>13932</v>
      </c>
      <c r="S13" s="419">
        <v>15710</v>
      </c>
      <c r="T13" s="419">
        <v>18929</v>
      </c>
      <c r="U13" s="419">
        <v>18350</v>
      </c>
      <c r="V13" s="431"/>
      <c r="W13" s="419">
        <v>19453</v>
      </c>
      <c r="X13" s="419">
        <v>14487</v>
      </c>
      <c r="Y13" s="419">
        <v>17760</v>
      </c>
      <c r="Z13" s="419">
        <v>14909</v>
      </c>
      <c r="AA13" s="431"/>
      <c r="AB13" s="419">
        <v>21146</v>
      </c>
      <c r="AC13" s="419">
        <v>32306</v>
      </c>
      <c r="AD13" s="419">
        <v>33046</v>
      </c>
      <c r="AE13" s="419">
        <v>59009</v>
      </c>
      <c r="AF13" s="431"/>
      <c r="AG13" s="419">
        <v>50908</v>
      </c>
      <c r="AH13" s="419">
        <v>39630</v>
      </c>
      <c r="AI13" s="419">
        <v>49547</v>
      </c>
      <c r="AJ13" s="419">
        <v>66268</v>
      </c>
      <c r="AL13" s="224"/>
      <c r="AM13" s="224"/>
      <c r="AN13" s="225"/>
    </row>
    <row r="14" spans="1:40" s="162" customFormat="1" ht="15" hidden="1" customHeight="1" outlineLevel="1" x14ac:dyDescent="0.25">
      <c r="A14" s="163" t="str">
        <f>IF(Contents!$A$1=2,"Cash held in other currencies","Денежные средства в прочих иностранных валютах")</f>
        <v>Денежные средства в прочих иностранных валютах</v>
      </c>
      <c r="B14" s="249" t="str">
        <f>IF(Contents!$A$1=2,"mln RUB","млн руб.")</f>
        <v>млн руб.</v>
      </c>
      <c r="C14" s="164"/>
      <c r="D14" s="419">
        <v>18774</v>
      </c>
      <c r="E14" s="466"/>
      <c r="F14" s="419">
        <v>17147</v>
      </c>
      <c r="G14" s="466"/>
      <c r="H14" s="419">
        <v>19776</v>
      </c>
      <c r="I14" s="419">
        <v>28823</v>
      </c>
      <c r="J14" s="419">
        <v>52259</v>
      </c>
      <c r="K14" s="419">
        <v>6408</v>
      </c>
      <c r="L14" s="431"/>
      <c r="M14" s="419">
        <v>6910</v>
      </c>
      <c r="N14" s="419">
        <v>6465</v>
      </c>
      <c r="O14" s="419">
        <v>8229</v>
      </c>
      <c r="P14" s="419">
        <v>6884</v>
      </c>
      <c r="Q14" s="431"/>
      <c r="R14" s="419">
        <v>7358</v>
      </c>
      <c r="S14" s="419">
        <v>7235</v>
      </c>
      <c r="T14" s="419">
        <v>6846</v>
      </c>
      <c r="U14" s="419">
        <v>8689</v>
      </c>
      <c r="V14" s="431"/>
      <c r="W14" s="419">
        <v>8362</v>
      </c>
      <c r="X14" s="419">
        <v>9598</v>
      </c>
      <c r="Y14" s="419">
        <v>11958</v>
      </c>
      <c r="Z14" s="419">
        <v>9022</v>
      </c>
      <c r="AA14" s="431"/>
      <c r="AB14" s="419">
        <v>6930</v>
      </c>
      <c r="AC14" s="419">
        <v>10460</v>
      </c>
      <c r="AD14" s="419">
        <v>13130</v>
      </c>
      <c r="AE14" s="419">
        <v>11445</v>
      </c>
      <c r="AF14" s="431"/>
      <c r="AG14" s="419">
        <v>10648</v>
      </c>
      <c r="AH14" s="419">
        <v>14056</v>
      </c>
      <c r="AI14" s="419">
        <v>13353</v>
      </c>
      <c r="AJ14" s="419">
        <v>13899</v>
      </c>
      <c r="AL14" s="224"/>
      <c r="AM14" s="224"/>
      <c r="AN14" s="225"/>
    </row>
    <row r="15" spans="1:40" s="162" customFormat="1" ht="15" hidden="1" customHeight="1" outlineLevel="1" x14ac:dyDescent="0.25">
      <c r="A15" s="163" t="str">
        <f>IF(Contents!$A$1=2,"Cash held in related party banks in RUB","Денежные средства в связанных банках в российских рублях")</f>
        <v>Денежные средства в связанных банках в российских рублях</v>
      </c>
      <c r="B15" s="249" t="str">
        <f>IF(Contents!$A$1=2,"mln RUB","млн руб.")</f>
        <v>млн руб.</v>
      </c>
      <c r="C15" s="164"/>
      <c r="D15" s="419">
        <v>17871</v>
      </c>
      <c r="E15" s="466"/>
      <c r="F15" s="419">
        <v>0</v>
      </c>
      <c r="G15" s="466"/>
      <c r="H15" s="419">
        <v>0</v>
      </c>
      <c r="I15" s="419">
        <v>0</v>
      </c>
      <c r="J15" s="419">
        <v>0</v>
      </c>
      <c r="K15" s="419">
        <v>0</v>
      </c>
      <c r="L15" s="431"/>
      <c r="M15" s="419">
        <v>0</v>
      </c>
      <c r="N15" s="419">
        <v>0</v>
      </c>
      <c r="O15" s="419">
        <v>0</v>
      </c>
      <c r="P15" s="419">
        <v>0</v>
      </c>
      <c r="Q15" s="431"/>
      <c r="R15" s="419">
        <v>0</v>
      </c>
      <c r="S15" s="419">
        <v>0</v>
      </c>
      <c r="T15" s="419">
        <v>0</v>
      </c>
      <c r="U15" s="419">
        <v>0</v>
      </c>
      <c r="V15" s="431"/>
      <c r="W15" s="419">
        <v>0</v>
      </c>
      <c r="X15" s="419">
        <v>0</v>
      </c>
      <c r="Y15" s="419">
        <v>0</v>
      </c>
      <c r="Z15" s="419">
        <v>0</v>
      </c>
      <c r="AA15" s="431"/>
      <c r="AB15" s="419">
        <v>0</v>
      </c>
      <c r="AC15" s="419">
        <v>0</v>
      </c>
      <c r="AD15" s="419">
        <v>0</v>
      </c>
      <c r="AE15" s="419">
        <v>0</v>
      </c>
      <c r="AF15" s="431"/>
      <c r="AG15" s="419">
        <v>0</v>
      </c>
      <c r="AH15" s="419">
        <v>0</v>
      </c>
      <c r="AI15" s="419">
        <v>0</v>
      </c>
      <c r="AJ15" s="419">
        <v>0</v>
      </c>
      <c r="AL15" s="224"/>
      <c r="AM15" s="224"/>
      <c r="AN15" s="225"/>
    </row>
    <row r="16" spans="1:40" s="162" customFormat="1" ht="15" hidden="1" customHeight="1" outlineLevel="1" x14ac:dyDescent="0.25">
      <c r="A16" s="163" t="str">
        <f>IF(Contents!$A$1=2,"Cash held in related party banks in other currencies","Денежные средства в связанных банках в прочих иностранных валютах")</f>
        <v>Денежные средства в связанных банках в прочих иностранных валютах</v>
      </c>
      <c r="B16" s="249" t="str">
        <f>IF(Contents!$A$1=2,"mln RUB","млн руб.")</f>
        <v>млн руб.</v>
      </c>
      <c r="C16" s="164"/>
      <c r="D16" s="419">
        <v>1353</v>
      </c>
      <c r="E16" s="466"/>
      <c r="F16" s="419">
        <v>0</v>
      </c>
      <c r="G16" s="466"/>
      <c r="H16" s="419">
        <v>0</v>
      </c>
      <c r="I16" s="419">
        <v>0</v>
      </c>
      <c r="J16" s="419">
        <v>0</v>
      </c>
      <c r="K16" s="419">
        <v>0</v>
      </c>
      <c r="L16" s="431"/>
      <c r="M16" s="419">
        <v>0</v>
      </c>
      <c r="N16" s="419">
        <v>0</v>
      </c>
      <c r="O16" s="419">
        <v>0</v>
      </c>
      <c r="P16" s="419">
        <v>0</v>
      </c>
      <c r="Q16" s="431"/>
      <c r="R16" s="419">
        <v>0</v>
      </c>
      <c r="S16" s="419">
        <v>0</v>
      </c>
      <c r="T16" s="419">
        <v>0</v>
      </c>
      <c r="U16" s="419">
        <v>0</v>
      </c>
      <c r="V16" s="431"/>
      <c r="W16" s="419">
        <v>0</v>
      </c>
      <c r="X16" s="419">
        <v>0</v>
      </c>
      <c r="Y16" s="419">
        <v>0</v>
      </c>
      <c r="Z16" s="419">
        <v>0</v>
      </c>
      <c r="AA16" s="431"/>
      <c r="AB16" s="419">
        <v>0</v>
      </c>
      <c r="AC16" s="419">
        <v>0</v>
      </c>
      <c r="AD16" s="419">
        <v>0</v>
      </c>
      <c r="AE16" s="419">
        <v>0</v>
      </c>
      <c r="AF16" s="431"/>
      <c r="AG16" s="419">
        <v>0</v>
      </c>
      <c r="AH16" s="419">
        <v>0</v>
      </c>
      <c r="AI16" s="419">
        <v>0</v>
      </c>
      <c r="AJ16" s="419">
        <v>0</v>
      </c>
      <c r="AK16" s="206"/>
      <c r="AL16" s="224"/>
      <c r="AM16" s="224"/>
      <c r="AN16" s="225"/>
    </row>
    <row r="17" spans="1:40" s="1" customFormat="1" ht="15" customHeight="1" collapsed="1" x14ac:dyDescent="0.25">
      <c r="A17" s="83" t="str">
        <f>IF(Contents!$A$1=2,"Accounts receivable, net","Дебиторская задолженность за минусом резерва по сомнительным долгам")</f>
        <v>Дебиторская задолженность за минусом резерва по сомнительным долгам</v>
      </c>
      <c r="B17" s="248" t="str">
        <f>IF(Contents!$A$1=2,"mln RUB","млн руб.")</f>
        <v>млн руб.</v>
      </c>
      <c r="C17" s="84"/>
      <c r="D17" s="429">
        <v>471811</v>
      </c>
      <c r="E17" s="418"/>
      <c r="F17" s="429">
        <v>440489</v>
      </c>
      <c r="G17" s="418"/>
      <c r="H17" s="429">
        <v>398408</v>
      </c>
      <c r="I17" s="429">
        <v>388706</v>
      </c>
      <c r="J17" s="429">
        <v>338701</v>
      </c>
      <c r="K17" s="429">
        <v>360897</v>
      </c>
      <c r="L17" s="430"/>
      <c r="M17" s="429">
        <v>315928</v>
      </c>
      <c r="N17" s="429">
        <v>322121</v>
      </c>
      <c r="O17" s="429">
        <v>363327</v>
      </c>
      <c r="P17" s="429">
        <v>418272</v>
      </c>
      <c r="Q17" s="430"/>
      <c r="R17" s="429">
        <v>377190</v>
      </c>
      <c r="S17" s="429">
        <v>488740</v>
      </c>
      <c r="T17" s="429">
        <v>606302</v>
      </c>
      <c r="U17" s="429">
        <v>429945</v>
      </c>
      <c r="V17" s="430"/>
      <c r="W17" s="429">
        <v>425986</v>
      </c>
      <c r="X17" s="429">
        <v>498462</v>
      </c>
      <c r="Y17" s="429">
        <v>423425</v>
      </c>
      <c r="Z17" s="429">
        <v>437052</v>
      </c>
      <c r="AA17" s="430"/>
      <c r="AB17" s="429">
        <v>445703</v>
      </c>
      <c r="AC17" s="429">
        <v>332803</v>
      </c>
      <c r="AD17" s="429">
        <v>434258</v>
      </c>
      <c r="AE17" s="429">
        <v>370271</v>
      </c>
      <c r="AF17" s="430"/>
      <c r="AG17" s="429">
        <v>444582</v>
      </c>
      <c r="AH17" s="429">
        <v>587067</v>
      </c>
      <c r="AI17" s="429">
        <v>635539</v>
      </c>
      <c r="AJ17" s="429">
        <v>741872</v>
      </c>
      <c r="AK17" s="178"/>
      <c r="AL17" s="224"/>
      <c r="AM17" s="224"/>
      <c r="AN17" s="225"/>
    </row>
    <row r="18" spans="1:40" s="178" customFormat="1" ht="15" hidden="1" customHeight="1" outlineLevel="1" x14ac:dyDescent="0.25">
      <c r="A18" s="163" t="str">
        <f>IF(Contents!$A$1=2,"Trade accounts receivable (net of allowances)","Торговая дебиторская задолженность (за минусом резерва по сомнительным долгам)")</f>
        <v>Торговая дебиторская задолженность (за минусом резерва по сомнительным долгам)</v>
      </c>
      <c r="B18" s="249" t="str">
        <f>IF(Contents!$A$1=2,"mln RUB","млн руб.")</f>
        <v>млн руб.</v>
      </c>
      <c r="C18" s="177"/>
      <c r="D18" s="419">
        <v>390732</v>
      </c>
      <c r="E18" s="428"/>
      <c r="F18" s="419">
        <v>375531</v>
      </c>
      <c r="G18" s="428"/>
      <c r="H18" s="419">
        <v>343225</v>
      </c>
      <c r="I18" s="419">
        <v>356223</v>
      </c>
      <c r="J18" s="419">
        <v>310318</v>
      </c>
      <c r="K18" s="419">
        <v>332975</v>
      </c>
      <c r="L18" s="431"/>
      <c r="M18" s="419">
        <v>290512</v>
      </c>
      <c r="N18" s="419">
        <v>292124</v>
      </c>
      <c r="O18" s="419">
        <v>340027</v>
      </c>
      <c r="P18" s="419">
        <v>393073</v>
      </c>
      <c r="Q18" s="431"/>
      <c r="R18" s="419">
        <v>349320</v>
      </c>
      <c r="S18" s="419">
        <v>470243</v>
      </c>
      <c r="T18" s="419">
        <v>586898</v>
      </c>
      <c r="U18" s="419">
        <v>411247</v>
      </c>
      <c r="V18" s="431"/>
      <c r="W18" s="419">
        <v>414240</v>
      </c>
      <c r="X18" s="419">
        <v>488935</v>
      </c>
      <c r="Y18" s="419">
        <v>410198</v>
      </c>
      <c r="Z18" s="419">
        <v>428415</v>
      </c>
      <c r="AA18" s="431"/>
      <c r="AB18" s="419">
        <v>434791</v>
      </c>
      <c r="AC18" s="419">
        <v>319298</v>
      </c>
      <c r="AD18" s="419">
        <v>418507</v>
      </c>
      <c r="AE18" s="419">
        <v>357159</v>
      </c>
      <c r="AF18" s="431"/>
      <c r="AG18" s="419">
        <v>429972</v>
      </c>
      <c r="AH18" s="419">
        <v>574481</v>
      </c>
      <c r="AI18" s="419">
        <v>620106</v>
      </c>
      <c r="AJ18" s="419">
        <v>727934</v>
      </c>
      <c r="AL18" s="224"/>
      <c r="AM18" s="224"/>
      <c r="AN18" s="222"/>
    </row>
    <row r="19" spans="1:40" s="178" customFormat="1" ht="15" hidden="1" customHeight="1" outlineLevel="1" x14ac:dyDescent="0.25">
      <c r="A19" s="163" t="str">
        <f>IF(Contents!$A$1=2,"Other current accounts receivable (net of allowances)","Прочая дебиторская задолженность (за минусом резерва по сомнительным долгам)")</f>
        <v>Прочая дебиторская задолженность (за минусом резерва по сомнительным долгам)</v>
      </c>
      <c r="B19" s="249" t="str">
        <f>IF(Contents!$A$1=2,"mln RUB","млн руб.")</f>
        <v>млн руб.</v>
      </c>
      <c r="C19" s="177"/>
      <c r="D19" s="419">
        <v>81079</v>
      </c>
      <c r="E19" s="428"/>
      <c r="F19" s="419">
        <v>64958</v>
      </c>
      <c r="G19" s="428"/>
      <c r="H19" s="419">
        <v>55183</v>
      </c>
      <c r="I19" s="419">
        <v>32483</v>
      </c>
      <c r="J19" s="419">
        <v>28383</v>
      </c>
      <c r="K19" s="419">
        <v>27922</v>
      </c>
      <c r="L19" s="431"/>
      <c r="M19" s="419">
        <v>25416</v>
      </c>
      <c r="N19" s="419">
        <v>29997</v>
      </c>
      <c r="O19" s="419">
        <v>23300</v>
      </c>
      <c r="P19" s="419">
        <v>25199</v>
      </c>
      <c r="Q19" s="431"/>
      <c r="R19" s="419">
        <v>27870</v>
      </c>
      <c r="S19" s="419">
        <v>18497</v>
      </c>
      <c r="T19" s="419">
        <v>19404</v>
      </c>
      <c r="U19" s="419">
        <v>18698</v>
      </c>
      <c r="V19" s="431"/>
      <c r="W19" s="419">
        <v>11746</v>
      </c>
      <c r="X19" s="419">
        <v>9527</v>
      </c>
      <c r="Y19" s="419">
        <v>13227</v>
      </c>
      <c r="Z19" s="419">
        <v>8637</v>
      </c>
      <c r="AA19" s="431"/>
      <c r="AB19" s="419">
        <v>10912</v>
      </c>
      <c r="AC19" s="419">
        <v>13505</v>
      </c>
      <c r="AD19" s="419">
        <v>15751</v>
      </c>
      <c r="AE19" s="419">
        <v>13112</v>
      </c>
      <c r="AF19" s="431"/>
      <c r="AG19" s="419">
        <v>14610</v>
      </c>
      <c r="AH19" s="419">
        <v>12586</v>
      </c>
      <c r="AI19" s="419">
        <v>15433</v>
      </c>
      <c r="AJ19" s="419">
        <v>13938</v>
      </c>
      <c r="AK19" s="206"/>
      <c r="AL19" s="224"/>
      <c r="AM19" s="224"/>
      <c r="AN19" s="226"/>
    </row>
    <row r="20" spans="1:40" s="1" customFormat="1" ht="15" customHeight="1" x14ac:dyDescent="0.25">
      <c r="A20" s="83" t="str">
        <f>IF(Contents!$A$1=2,"Other current financial assets","Прочие краткосрочные финансовые активы")</f>
        <v>Прочие краткосрочные финансовые активы</v>
      </c>
      <c r="B20" s="248" t="str">
        <f>IF(Contents!$A$1=2,"mln RUB","млн руб.")</f>
        <v>млн руб.</v>
      </c>
      <c r="C20" s="84"/>
      <c r="D20" s="429">
        <v>10700</v>
      </c>
      <c r="E20" s="418"/>
      <c r="F20" s="429">
        <v>23768</v>
      </c>
      <c r="G20" s="418"/>
      <c r="H20" s="429">
        <v>16181</v>
      </c>
      <c r="I20" s="429">
        <v>16970</v>
      </c>
      <c r="J20" s="429">
        <v>7314</v>
      </c>
      <c r="K20" s="429">
        <v>16934</v>
      </c>
      <c r="L20" s="430"/>
      <c r="M20" s="429">
        <v>15748</v>
      </c>
      <c r="N20" s="429">
        <v>16359</v>
      </c>
      <c r="O20" s="429">
        <v>16730</v>
      </c>
      <c r="P20" s="429">
        <v>19561</v>
      </c>
      <c r="Q20" s="430"/>
      <c r="R20" s="429">
        <v>47208</v>
      </c>
      <c r="S20" s="429">
        <v>33249</v>
      </c>
      <c r="T20" s="429">
        <v>40745</v>
      </c>
      <c r="U20" s="429">
        <v>26200</v>
      </c>
      <c r="V20" s="430"/>
      <c r="W20" s="429">
        <v>27111</v>
      </c>
      <c r="X20" s="429">
        <v>31504</v>
      </c>
      <c r="Y20" s="429">
        <v>36571</v>
      </c>
      <c r="Z20" s="429">
        <v>49706</v>
      </c>
      <c r="AA20" s="430"/>
      <c r="AB20" s="429">
        <v>50898</v>
      </c>
      <c r="AC20" s="429">
        <v>46485</v>
      </c>
      <c r="AD20" s="429">
        <v>45362</v>
      </c>
      <c r="AE20" s="429">
        <v>8350</v>
      </c>
      <c r="AF20" s="430"/>
      <c r="AG20" s="429">
        <v>9135</v>
      </c>
      <c r="AH20" s="429">
        <v>8438</v>
      </c>
      <c r="AI20" s="429">
        <v>10929</v>
      </c>
      <c r="AJ20" s="429">
        <v>12289</v>
      </c>
      <c r="AK20" s="206"/>
      <c r="AL20" s="224"/>
      <c r="AM20" s="224"/>
      <c r="AN20" s="226"/>
    </row>
    <row r="21" spans="1:40" s="1" customFormat="1" ht="15" customHeight="1" collapsed="1" x14ac:dyDescent="0.25">
      <c r="A21" s="83" t="str">
        <f>IF(Contents!$A$1=2,"Inventories","Запасы ")</f>
        <v xml:space="preserve">Запасы </v>
      </c>
      <c r="B21" s="248" t="str">
        <f>IF(Contents!$A$1=2,"mln RUB","млн руб.")</f>
        <v>млн руб.</v>
      </c>
      <c r="C21" s="84"/>
      <c r="D21" s="429">
        <v>340693</v>
      </c>
      <c r="E21" s="418"/>
      <c r="F21" s="429">
        <v>340196</v>
      </c>
      <c r="G21" s="418"/>
      <c r="H21" s="429">
        <v>339837</v>
      </c>
      <c r="I21" s="429">
        <v>388783</v>
      </c>
      <c r="J21" s="429">
        <v>361871</v>
      </c>
      <c r="K21" s="429">
        <v>404284</v>
      </c>
      <c r="L21" s="430"/>
      <c r="M21" s="429">
        <v>382111</v>
      </c>
      <c r="N21" s="429">
        <v>365889</v>
      </c>
      <c r="O21" s="429">
        <v>354806</v>
      </c>
      <c r="P21" s="429">
        <v>398186</v>
      </c>
      <c r="Q21" s="430"/>
      <c r="R21" s="429">
        <v>416298</v>
      </c>
      <c r="S21" s="429">
        <v>460799</v>
      </c>
      <c r="T21" s="429">
        <v>448286</v>
      </c>
      <c r="U21" s="429">
        <v>381737</v>
      </c>
      <c r="V21" s="430"/>
      <c r="W21" s="429">
        <v>459125</v>
      </c>
      <c r="X21" s="429">
        <v>413866</v>
      </c>
      <c r="Y21" s="429">
        <v>436822</v>
      </c>
      <c r="Z21" s="429">
        <v>413910</v>
      </c>
      <c r="AA21" s="430"/>
      <c r="AB21" s="429">
        <v>306110</v>
      </c>
      <c r="AC21" s="429">
        <v>363342</v>
      </c>
      <c r="AD21" s="429">
        <v>401421</v>
      </c>
      <c r="AE21" s="429">
        <v>426536</v>
      </c>
      <c r="AF21" s="430"/>
      <c r="AG21" s="429">
        <v>496465</v>
      </c>
      <c r="AH21" s="429">
        <v>490730</v>
      </c>
      <c r="AI21" s="429">
        <v>513529</v>
      </c>
      <c r="AJ21" s="429">
        <v>467960</v>
      </c>
      <c r="AK21" s="206"/>
      <c r="AL21" s="224"/>
      <c r="AM21" s="224"/>
      <c r="AN21" s="222"/>
    </row>
    <row r="22" spans="1:40" s="179" customFormat="1" ht="15" hidden="1" customHeight="1" outlineLevel="1" x14ac:dyDescent="0.25">
      <c r="A22" s="163" t="str">
        <f>IF(Contents!$A$1=2,"Crude oil and petroleum products","Нефть и нефтепродукты")</f>
        <v>Нефть и нефтепродукты</v>
      </c>
      <c r="B22" s="249" t="str">
        <f>IF(Contents!$A$1=2,"mln RUB","млн руб.")</f>
        <v>млн руб.</v>
      </c>
      <c r="C22" s="180"/>
      <c r="D22" s="419">
        <v>290196</v>
      </c>
      <c r="E22" s="428"/>
      <c r="F22" s="419">
        <v>275941</v>
      </c>
      <c r="G22" s="428"/>
      <c r="H22" s="419">
        <v>278525</v>
      </c>
      <c r="I22" s="419">
        <v>323763</v>
      </c>
      <c r="J22" s="419">
        <v>297431</v>
      </c>
      <c r="K22" s="419">
        <v>349153</v>
      </c>
      <c r="L22" s="431"/>
      <c r="M22" s="419">
        <v>329931</v>
      </c>
      <c r="N22" s="419">
        <v>312860</v>
      </c>
      <c r="O22" s="419">
        <v>300960</v>
      </c>
      <c r="P22" s="419">
        <v>345216</v>
      </c>
      <c r="Q22" s="431"/>
      <c r="R22" s="419">
        <v>361623</v>
      </c>
      <c r="S22" s="419">
        <v>400805</v>
      </c>
      <c r="T22" s="419">
        <v>389474</v>
      </c>
      <c r="U22" s="419">
        <v>325563</v>
      </c>
      <c r="V22" s="431"/>
      <c r="W22" s="419">
        <v>401417</v>
      </c>
      <c r="X22" s="419">
        <v>354841</v>
      </c>
      <c r="Y22" s="419">
        <v>377967</v>
      </c>
      <c r="Z22" s="419">
        <v>366795</v>
      </c>
      <c r="AA22" s="431"/>
      <c r="AB22" s="419">
        <v>249813</v>
      </c>
      <c r="AC22" s="419">
        <v>308115</v>
      </c>
      <c r="AD22" s="419">
        <v>342126</v>
      </c>
      <c r="AE22" s="419">
        <v>373290</v>
      </c>
      <c r="AF22" s="431"/>
      <c r="AG22" s="419">
        <v>443629</v>
      </c>
      <c r="AH22" s="419">
        <v>436611</v>
      </c>
      <c r="AI22" s="419">
        <v>460186</v>
      </c>
      <c r="AJ22" s="419">
        <v>415612</v>
      </c>
      <c r="AL22" s="224"/>
      <c r="AM22" s="224"/>
      <c r="AN22" s="222"/>
    </row>
    <row r="23" spans="1:40" s="179" customFormat="1" ht="15" hidden="1" customHeight="1" outlineLevel="1" x14ac:dyDescent="0.25">
      <c r="A23" s="163" t="str">
        <f>IF(Contents!$A$1=2,"Materials for extraction and drilling","Материалы для добычи и бурения")</f>
        <v>Материалы для добычи и бурения</v>
      </c>
      <c r="B23" s="249" t="str">
        <f>IF(Contents!$A$1=2,"mln RUB","млн руб.")</f>
        <v>млн руб.</v>
      </c>
      <c r="C23" s="180"/>
      <c r="D23" s="419">
        <v>17359</v>
      </c>
      <c r="E23" s="428"/>
      <c r="F23" s="419">
        <v>21345</v>
      </c>
      <c r="G23" s="428"/>
      <c r="H23" s="419">
        <v>21574</v>
      </c>
      <c r="I23" s="419">
        <v>21327</v>
      </c>
      <c r="J23" s="419">
        <v>20186</v>
      </c>
      <c r="K23" s="419">
        <v>20182</v>
      </c>
      <c r="L23" s="431"/>
      <c r="M23" s="419">
        <v>19731</v>
      </c>
      <c r="N23" s="419">
        <v>20323</v>
      </c>
      <c r="O23" s="419">
        <v>19781</v>
      </c>
      <c r="P23" s="419">
        <v>19925</v>
      </c>
      <c r="Q23" s="431"/>
      <c r="R23" s="419">
        <v>20727</v>
      </c>
      <c r="S23" s="419">
        <v>22402</v>
      </c>
      <c r="T23" s="419">
        <v>22499</v>
      </c>
      <c r="U23" s="419">
        <v>23128</v>
      </c>
      <c r="V23" s="431"/>
      <c r="W23" s="419">
        <v>22725</v>
      </c>
      <c r="X23" s="419">
        <v>23207</v>
      </c>
      <c r="Y23" s="419">
        <v>23876</v>
      </c>
      <c r="Z23" s="419">
        <v>22811</v>
      </c>
      <c r="AA23" s="431"/>
      <c r="AB23" s="419">
        <v>27629</v>
      </c>
      <c r="AC23" s="419">
        <v>26604</v>
      </c>
      <c r="AD23" s="419">
        <v>28694</v>
      </c>
      <c r="AE23" s="419">
        <v>25582</v>
      </c>
      <c r="AF23" s="431"/>
      <c r="AG23" s="419">
        <v>25820</v>
      </c>
      <c r="AH23" s="419">
        <v>26151</v>
      </c>
      <c r="AI23" s="419">
        <v>25780</v>
      </c>
      <c r="AJ23" s="419">
        <v>25260</v>
      </c>
      <c r="AL23" s="224"/>
      <c r="AM23" s="224"/>
      <c r="AN23" s="227"/>
    </row>
    <row r="24" spans="1:40" s="179" customFormat="1" ht="15" hidden="1" customHeight="1" outlineLevel="1" x14ac:dyDescent="0.25">
      <c r="A24" s="163" t="str">
        <f>IF(Contents!$A$1=2,"Materials and supplies for refining","Материалы для нефтепереработки")</f>
        <v>Материалы для нефтепереработки</v>
      </c>
      <c r="B24" s="249" t="str">
        <f>IF(Contents!$A$1=2,"mln RUB","млн руб.")</f>
        <v>млн руб.</v>
      </c>
      <c r="C24" s="180"/>
      <c r="D24" s="419">
        <v>2116</v>
      </c>
      <c r="E24" s="428"/>
      <c r="F24" s="419">
        <v>3732</v>
      </c>
      <c r="G24" s="428"/>
      <c r="H24" s="419">
        <v>3243</v>
      </c>
      <c r="I24" s="419">
        <v>3237</v>
      </c>
      <c r="J24" s="419">
        <v>3354</v>
      </c>
      <c r="K24" s="419">
        <v>2741</v>
      </c>
      <c r="L24" s="431"/>
      <c r="M24" s="419">
        <v>3115</v>
      </c>
      <c r="N24" s="419">
        <v>2778</v>
      </c>
      <c r="O24" s="419">
        <v>3048</v>
      </c>
      <c r="P24" s="419">
        <v>2999</v>
      </c>
      <c r="Q24" s="431"/>
      <c r="R24" s="419">
        <v>2906</v>
      </c>
      <c r="S24" s="419">
        <v>3851</v>
      </c>
      <c r="T24" s="419">
        <v>4130</v>
      </c>
      <c r="U24" s="419">
        <v>4084</v>
      </c>
      <c r="V24" s="431"/>
      <c r="W24" s="419">
        <v>4264</v>
      </c>
      <c r="X24" s="419">
        <v>4786</v>
      </c>
      <c r="Y24" s="419">
        <v>4625</v>
      </c>
      <c r="Z24" s="419">
        <v>4449</v>
      </c>
      <c r="AA24" s="431"/>
      <c r="AB24" s="419">
        <v>4144</v>
      </c>
      <c r="AC24" s="419">
        <v>3995</v>
      </c>
      <c r="AD24" s="419">
        <v>4445</v>
      </c>
      <c r="AE24" s="419">
        <v>4681</v>
      </c>
      <c r="AF24" s="431"/>
      <c r="AG24" s="419">
        <v>3952</v>
      </c>
      <c r="AH24" s="419">
        <v>4141</v>
      </c>
      <c r="AI24" s="419">
        <v>4189</v>
      </c>
      <c r="AJ24" s="419">
        <v>4008</v>
      </c>
      <c r="AL24" s="224"/>
      <c r="AM24" s="224"/>
      <c r="AN24" s="227"/>
    </row>
    <row r="25" spans="1:40" s="179" customFormat="1" ht="15" hidden="1" customHeight="1" outlineLevel="1" x14ac:dyDescent="0.25">
      <c r="A25" s="163" t="str">
        <f>IF(Contents!$A$1=2,"Other goods, materials and supplies","Прочие товары, сырье и материалы")</f>
        <v>Прочие товары, сырье и материалы</v>
      </c>
      <c r="B25" s="249" t="str">
        <f>IF(Contents!$A$1=2,"mln RUB","млн руб.")</f>
        <v>млн руб.</v>
      </c>
      <c r="C25" s="180"/>
      <c r="D25" s="419">
        <v>31022</v>
      </c>
      <c r="E25" s="428"/>
      <c r="F25" s="419">
        <v>39178</v>
      </c>
      <c r="G25" s="428"/>
      <c r="H25" s="419">
        <v>36495</v>
      </c>
      <c r="I25" s="419">
        <v>40456</v>
      </c>
      <c r="J25" s="419">
        <v>40900</v>
      </c>
      <c r="K25" s="419">
        <v>32208</v>
      </c>
      <c r="L25" s="431"/>
      <c r="M25" s="419">
        <v>29334</v>
      </c>
      <c r="N25" s="419">
        <v>29928</v>
      </c>
      <c r="O25" s="419">
        <v>31017</v>
      </c>
      <c r="P25" s="419">
        <v>30046</v>
      </c>
      <c r="Q25" s="431"/>
      <c r="R25" s="419">
        <v>31042</v>
      </c>
      <c r="S25" s="419">
        <v>33741</v>
      </c>
      <c r="T25" s="419">
        <v>32183</v>
      </c>
      <c r="U25" s="419">
        <v>28962</v>
      </c>
      <c r="V25" s="431"/>
      <c r="W25" s="419">
        <v>30719</v>
      </c>
      <c r="X25" s="419">
        <v>31032</v>
      </c>
      <c r="Y25" s="419">
        <v>30354</v>
      </c>
      <c r="Z25" s="419">
        <v>19855</v>
      </c>
      <c r="AA25" s="431"/>
      <c r="AB25" s="419">
        <v>24524</v>
      </c>
      <c r="AC25" s="419">
        <v>24628</v>
      </c>
      <c r="AD25" s="419">
        <v>26156</v>
      </c>
      <c r="AE25" s="419">
        <v>22983</v>
      </c>
      <c r="AF25" s="431"/>
      <c r="AG25" s="419">
        <v>23064</v>
      </c>
      <c r="AH25" s="419">
        <v>23827</v>
      </c>
      <c r="AI25" s="419">
        <v>23374</v>
      </c>
      <c r="AJ25" s="419">
        <v>23080</v>
      </c>
      <c r="AL25" s="224"/>
      <c r="AM25" s="224"/>
      <c r="AN25" s="227"/>
    </row>
    <row r="26" spans="1:40" s="1" customFormat="1" ht="15" customHeight="1" collapsed="1" x14ac:dyDescent="0.25">
      <c r="A26" s="347" t="str">
        <f>IF(Contents!$A$1=2,"Prepaid taxes","Дебиторская задолженность по налогам")</f>
        <v>Дебиторская задолженность по налогам</v>
      </c>
      <c r="B26" s="248" t="str">
        <f>IF(Contents!$A$1=2,"mln RUB","млн руб.")</f>
        <v>млн руб.</v>
      </c>
      <c r="C26" s="84"/>
      <c r="D26" s="429">
        <v>127297</v>
      </c>
      <c r="E26" s="418"/>
      <c r="F26" s="429">
        <v>89105</v>
      </c>
      <c r="G26" s="418"/>
      <c r="H26" s="429">
        <v>83167</v>
      </c>
      <c r="I26" s="429">
        <v>82677</v>
      </c>
      <c r="J26" s="429">
        <v>77669</v>
      </c>
      <c r="K26" s="429">
        <v>93675</v>
      </c>
      <c r="L26" s="430"/>
      <c r="M26" s="429">
        <v>89875</v>
      </c>
      <c r="N26" s="429">
        <v>67939</v>
      </c>
      <c r="O26" s="429">
        <v>62714</v>
      </c>
      <c r="P26" s="429">
        <v>87338</v>
      </c>
      <c r="Q26" s="430"/>
      <c r="R26" s="429">
        <v>85796</v>
      </c>
      <c r="S26" s="429">
        <v>86435</v>
      </c>
      <c r="T26" s="429">
        <v>96546</v>
      </c>
      <c r="U26" s="429">
        <v>95611</v>
      </c>
      <c r="V26" s="430"/>
      <c r="W26" s="429">
        <v>91776</v>
      </c>
      <c r="X26" s="429">
        <v>98635</v>
      </c>
      <c r="Y26" s="429">
        <v>94585</v>
      </c>
      <c r="Z26" s="429">
        <v>95075</v>
      </c>
      <c r="AA26" s="430"/>
      <c r="AB26" s="429">
        <v>92612</v>
      </c>
      <c r="AC26" s="429">
        <v>70425</v>
      </c>
      <c r="AD26" s="429">
        <v>64480</v>
      </c>
      <c r="AE26" s="429">
        <v>78822</v>
      </c>
      <c r="AF26" s="430"/>
      <c r="AG26" s="429">
        <v>112316</v>
      </c>
      <c r="AH26" s="429">
        <v>117351</v>
      </c>
      <c r="AI26" s="429">
        <v>123133</v>
      </c>
      <c r="AJ26" s="429">
        <v>133326</v>
      </c>
      <c r="AK26" s="206"/>
      <c r="AL26" s="224"/>
      <c r="AM26" s="224"/>
      <c r="AN26" s="222"/>
    </row>
    <row r="27" spans="1:40" s="179" customFormat="1" ht="15" hidden="1" customHeight="1" outlineLevel="1" x14ac:dyDescent="0.25">
      <c r="A27" s="163" t="str">
        <f>IF(Contents!$A$1=2,"Income tax prepaid","Предоплата по налогу на прибыль")</f>
        <v>Предоплата по налогу на прибыль</v>
      </c>
      <c r="B27" s="249" t="str">
        <f>IF(Contents!$A$1=2,"mln RUB","млн руб.")</f>
        <v>млн руб.</v>
      </c>
      <c r="C27" s="180"/>
      <c r="D27" s="419">
        <v>11367</v>
      </c>
      <c r="E27" s="428"/>
      <c r="F27" s="419">
        <v>7413</v>
      </c>
      <c r="G27" s="428"/>
      <c r="H27" s="419">
        <v>15777</v>
      </c>
      <c r="I27" s="419">
        <v>15668</v>
      </c>
      <c r="J27" s="419">
        <v>14474</v>
      </c>
      <c r="K27" s="419">
        <v>19646</v>
      </c>
      <c r="L27" s="431"/>
      <c r="M27" s="419">
        <v>22961</v>
      </c>
      <c r="N27" s="419">
        <v>10542</v>
      </c>
      <c r="O27" s="419">
        <v>9326</v>
      </c>
      <c r="P27" s="419">
        <v>13543</v>
      </c>
      <c r="Q27" s="431"/>
      <c r="R27" s="419">
        <v>12626</v>
      </c>
      <c r="S27" s="419">
        <v>10576</v>
      </c>
      <c r="T27" s="419">
        <v>11096</v>
      </c>
      <c r="U27" s="419">
        <v>12165</v>
      </c>
      <c r="V27" s="431"/>
      <c r="W27" s="419">
        <v>9777</v>
      </c>
      <c r="X27" s="419">
        <v>12757</v>
      </c>
      <c r="Y27" s="419">
        <v>15110</v>
      </c>
      <c r="Z27" s="419">
        <v>17120</v>
      </c>
      <c r="AA27" s="431"/>
      <c r="AB27" s="419">
        <v>25215</v>
      </c>
      <c r="AC27" s="419">
        <v>25486</v>
      </c>
      <c r="AD27" s="419">
        <v>22757</v>
      </c>
      <c r="AE27" s="419">
        <v>17983</v>
      </c>
      <c r="AF27" s="431"/>
      <c r="AG27" s="419">
        <v>15543</v>
      </c>
      <c r="AH27" s="419">
        <v>14362</v>
      </c>
      <c r="AI27" s="419">
        <v>12965</v>
      </c>
      <c r="AJ27" s="419">
        <v>16810</v>
      </c>
      <c r="AL27" s="224"/>
      <c r="AM27" s="224"/>
      <c r="AN27" s="222"/>
    </row>
    <row r="28" spans="1:40" s="179" customFormat="1" ht="15" hidden="1" customHeight="1" outlineLevel="1" x14ac:dyDescent="0.25">
      <c r="A28" s="163" t="str">
        <f>IF(Contents!$A$1=2,"VAT and excise tax recoverable","НДС и акцизы к возмещению")</f>
        <v>НДС и акцизы к возмещению</v>
      </c>
      <c r="B28" s="249" t="str">
        <f>IF(Contents!$A$1=2,"mln RUB","млн руб.")</f>
        <v>млн руб.</v>
      </c>
      <c r="C28" s="180"/>
      <c r="D28" s="419">
        <v>0</v>
      </c>
      <c r="E28" s="428"/>
      <c r="F28" s="419">
        <v>39171</v>
      </c>
      <c r="G28" s="428"/>
      <c r="H28" s="419">
        <v>37108</v>
      </c>
      <c r="I28" s="419">
        <v>36936</v>
      </c>
      <c r="J28" s="419">
        <v>36656</v>
      </c>
      <c r="K28" s="419">
        <v>34436</v>
      </c>
      <c r="L28" s="431"/>
      <c r="M28" s="419">
        <v>33755</v>
      </c>
      <c r="N28" s="419">
        <v>33301</v>
      </c>
      <c r="O28" s="419">
        <v>29180</v>
      </c>
      <c r="P28" s="419">
        <v>38930</v>
      </c>
      <c r="Q28" s="431"/>
      <c r="R28" s="419">
        <v>31771</v>
      </c>
      <c r="S28" s="419">
        <v>38779</v>
      </c>
      <c r="T28" s="419">
        <v>40553</v>
      </c>
      <c r="U28" s="419">
        <v>37832</v>
      </c>
      <c r="V28" s="431"/>
      <c r="W28" s="419">
        <v>39360</v>
      </c>
      <c r="X28" s="419">
        <v>43351</v>
      </c>
      <c r="Y28" s="419">
        <v>33041</v>
      </c>
      <c r="Z28" s="419">
        <v>30660</v>
      </c>
      <c r="AA28" s="431"/>
      <c r="AB28" s="419">
        <v>25214</v>
      </c>
      <c r="AC28" s="419">
        <v>17487</v>
      </c>
      <c r="AD28" s="419">
        <v>20803</v>
      </c>
      <c r="AE28" s="419">
        <v>0</v>
      </c>
      <c r="AF28" s="431"/>
      <c r="AG28" s="419">
        <v>0</v>
      </c>
      <c r="AH28" s="419">
        <v>0</v>
      </c>
      <c r="AI28" s="419">
        <v>0</v>
      </c>
      <c r="AJ28" s="419">
        <v>0</v>
      </c>
      <c r="AL28" s="224"/>
      <c r="AM28" s="224"/>
      <c r="AN28" s="222"/>
    </row>
    <row r="29" spans="1:40" s="179" customFormat="1" ht="15" hidden="1" customHeight="1" outlineLevel="1" x14ac:dyDescent="0.25">
      <c r="A29" s="345" t="str">
        <f>IF(Contents!$A$1=2,"VAT recoverable","НДС к возмещению")</f>
        <v>НДС к возмещению</v>
      </c>
      <c r="B29" s="249" t="str">
        <f>IF(Contents!$A$1=2,"mln RUB","млн руб.")</f>
        <v>млн руб.</v>
      </c>
      <c r="C29" s="180"/>
      <c r="D29" s="419">
        <v>0</v>
      </c>
      <c r="E29" s="428"/>
      <c r="F29" s="419">
        <v>0</v>
      </c>
      <c r="G29" s="428"/>
      <c r="H29" s="419">
        <v>0</v>
      </c>
      <c r="I29" s="419">
        <v>0</v>
      </c>
      <c r="J29" s="419">
        <v>0</v>
      </c>
      <c r="K29" s="419">
        <v>0</v>
      </c>
      <c r="L29" s="431"/>
      <c r="M29" s="419">
        <v>0</v>
      </c>
      <c r="N29" s="419">
        <v>0</v>
      </c>
      <c r="O29" s="419">
        <v>0</v>
      </c>
      <c r="P29" s="419">
        <v>0</v>
      </c>
      <c r="Q29" s="431"/>
      <c r="R29" s="419">
        <v>0</v>
      </c>
      <c r="S29" s="419">
        <v>0</v>
      </c>
      <c r="T29" s="419">
        <v>0</v>
      </c>
      <c r="U29" s="419">
        <v>0</v>
      </c>
      <c r="V29" s="431"/>
      <c r="W29" s="419">
        <v>0</v>
      </c>
      <c r="X29" s="419">
        <v>0</v>
      </c>
      <c r="Y29" s="419">
        <v>0</v>
      </c>
      <c r="Z29" s="419">
        <v>0</v>
      </c>
      <c r="AA29" s="431"/>
      <c r="AB29" s="419">
        <v>0</v>
      </c>
      <c r="AC29" s="419">
        <v>0</v>
      </c>
      <c r="AD29" s="419">
        <v>0</v>
      </c>
      <c r="AE29" s="419">
        <v>12940</v>
      </c>
      <c r="AF29" s="431"/>
      <c r="AG29" s="419">
        <v>11380</v>
      </c>
      <c r="AH29" s="419">
        <v>11011</v>
      </c>
      <c r="AI29" s="419">
        <v>12612</v>
      </c>
      <c r="AJ29" s="419">
        <v>14735</v>
      </c>
      <c r="AL29" s="224"/>
      <c r="AM29" s="224"/>
      <c r="AN29" s="222"/>
    </row>
    <row r="30" spans="1:40" s="179" customFormat="1" ht="15" hidden="1" customHeight="1" outlineLevel="1" x14ac:dyDescent="0.25">
      <c r="A30" s="345" t="str">
        <f>IF(Contents!$A$1=2,"Excise tax recoverable","Акцизы к возмещению")</f>
        <v>Акцизы к возмещению</v>
      </c>
      <c r="B30" s="249" t="str">
        <f>IF(Contents!$A$1=2,"mln RUB","млн руб.")</f>
        <v>млн руб.</v>
      </c>
      <c r="C30" s="180"/>
      <c r="D30" s="419">
        <v>0</v>
      </c>
      <c r="E30" s="428"/>
      <c r="F30" s="419">
        <v>0</v>
      </c>
      <c r="G30" s="428"/>
      <c r="H30" s="419">
        <v>0</v>
      </c>
      <c r="I30" s="419">
        <v>0</v>
      </c>
      <c r="J30" s="419">
        <v>0</v>
      </c>
      <c r="K30" s="419">
        <v>0</v>
      </c>
      <c r="L30" s="431"/>
      <c r="M30" s="419">
        <v>0</v>
      </c>
      <c r="N30" s="419">
        <v>0</v>
      </c>
      <c r="O30" s="419">
        <v>0</v>
      </c>
      <c r="P30" s="419">
        <v>0</v>
      </c>
      <c r="Q30" s="431"/>
      <c r="R30" s="419">
        <v>0</v>
      </c>
      <c r="S30" s="419">
        <v>0</v>
      </c>
      <c r="T30" s="419">
        <v>0</v>
      </c>
      <c r="U30" s="419">
        <v>0</v>
      </c>
      <c r="V30" s="431"/>
      <c r="W30" s="419">
        <v>0</v>
      </c>
      <c r="X30" s="419">
        <v>0</v>
      </c>
      <c r="Y30" s="419">
        <v>0</v>
      </c>
      <c r="Z30" s="419">
        <v>0</v>
      </c>
      <c r="AA30" s="431"/>
      <c r="AB30" s="419">
        <v>0</v>
      </c>
      <c r="AC30" s="419">
        <v>0</v>
      </c>
      <c r="AD30" s="419">
        <v>0</v>
      </c>
      <c r="AE30" s="419">
        <v>8350</v>
      </c>
      <c r="AF30" s="431"/>
      <c r="AG30" s="419">
        <v>22582</v>
      </c>
      <c r="AH30" s="419">
        <v>34174</v>
      </c>
      <c r="AI30" s="419">
        <v>37359</v>
      </c>
      <c r="AJ30" s="419">
        <v>35804</v>
      </c>
      <c r="AL30" s="224"/>
      <c r="AM30" s="224"/>
      <c r="AN30" s="222"/>
    </row>
    <row r="31" spans="1:40" s="179" customFormat="1" ht="15" hidden="1" customHeight="1" outlineLevel="1" x14ac:dyDescent="0.25">
      <c r="A31" s="163" t="str">
        <f>IF(Contents!$A$1=2,"Export duties prepaid","Предоплаченные таможенные пошлины")</f>
        <v>Предоплаченные таможенные пошлины</v>
      </c>
      <c r="B31" s="249" t="str">
        <f>IF(Contents!$A$1=2,"mln RUB","млн руб.")</f>
        <v>млн руб.</v>
      </c>
      <c r="C31" s="180"/>
      <c r="D31" s="419">
        <v>46736</v>
      </c>
      <c r="E31" s="428"/>
      <c r="F31" s="419">
        <v>21824</v>
      </c>
      <c r="G31" s="428"/>
      <c r="H31" s="419">
        <v>11004</v>
      </c>
      <c r="I31" s="419">
        <v>10108</v>
      </c>
      <c r="J31" s="419">
        <v>12213</v>
      </c>
      <c r="K31" s="419">
        <v>17113</v>
      </c>
      <c r="L31" s="431"/>
      <c r="M31" s="419">
        <v>9834</v>
      </c>
      <c r="N31" s="419">
        <v>6545</v>
      </c>
      <c r="O31" s="419">
        <v>6582</v>
      </c>
      <c r="P31" s="419">
        <v>15418</v>
      </c>
      <c r="Q31" s="431"/>
      <c r="R31" s="419">
        <v>9183</v>
      </c>
      <c r="S31" s="419">
        <v>12997</v>
      </c>
      <c r="T31" s="419">
        <v>15451</v>
      </c>
      <c r="U31" s="419">
        <v>23093</v>
      </c>
      <c r="V31" s="431"/>
      <c r="W31" s="419">
        <v>9939</v>
      </c>
      <c r="X31" s="419">
        <v>10082</v>
      </c>
      <c r="Y31" s="419">
        <v>9908</v>
      </c>
      <c r="Z31" s="419">
        <v>11968</v>
      </c>
      <c r="AA31" s="431"/>
      <c r="AB31" s="419">
        <v>10753</v>
      </c>
      <c r="AC31" s="419">
        <v>4868</v>
      </c>
      <c r="AD31" s="419">
        <v>5370</v>
      </c>
      <c r="AE31" s="419">
        <v>8009</v>
      </c>
      <c r="AF31" s="431"/>
      <c r="AG31" s="419">
        <v>7312</v>
      </c>
      <c r="AH31" s="419">
        <v>7101</v>
      </c>
      <c r="AI31" s="419">
        <v>7745</v>
      </c>
      <c r="AJ31" s="419">
        <v>13512</v>
      </c>
      <c r="AL31" s="224"/>
      <c r="AM31" s="224"/>
      <c r="AN31" s="227"/>
    </row>
    <row r="32" spans="1:40" s="179" customFormat="1" ht="15" hidden="1" customHeight="1" outlineLevel="1" x14ac:dyDescent="0.25">
      <c r="A32" s="345" t="str">
        <f>IF(Contents!$A$1=2,"VAT prepaid","Переплата по НДС")</f>
        <v>Переплата по НДС</v>
      </c>
      <c r="B32" s="249" t="str">
        <f>IF(Contents!$A$1=2,"mln RUB","млн руб.")</f>
        <v>млн руб.</v>
      </c>
      <c r="C32" s="180"/>
      <c r="E32" s="428"/>
      <c r="F32" s="419">
        <v>0</v>
      </c>
      <c r="G32" s="428"/>
      <c r="H32" s="419">
        <v>0</v>
      </c>
      <c r="I32" s="419">
        <v>0</v>
      </c>
      <c r="J32" s="419">
        <v>0</v>
      </c>
      <c r="K32" s="419">
        <v>0</v>
      </c>
      <c r="L32" s="431"/>
      <c r="M32" s="419">
        <v>0</v>
      </c>
      <c r="N32" s="419">
        <v>0</v>
      </c>
      <c r="O32" s="419">
        <v>0</v>
      </c>
      <c r="P32" s="419">
        <v>15655</v>
      </c>
      <c r="Q32" s="431"/>
      <c r="R32" s="419">
        <v>28068</v>
      </c>
      <c r="S32" s="419">
        <v>19984</v>
      </c>
      <c r="T32" s="419">
        <v>25282</v>
      </c>
      <c r="U32" s="419">
        <v>18498</v>
      </c>
      <c r="V32" s="431"/>
      <c r="W32" s="419">
        <v>29231</v>
      </c>
      <c r="X32" s="419">
        <v>28179</v>
      </c>
      <c r="Y32" s="419">
        <v>34467</v>
      </c>
      <c r="Z32" s="419">
        <v>30199</v>
      </c>
      <c r="AA32" s="431"/>
      <c r="AB32" s="419">
        <v>25764</v>
      </c>
      <c r="AC32" s="419">
        <v>17678</v>
      </c>
      <c r="AD32" s="419">
        <v>13733</v>
      </c>
      <c r="AE32" s="419">
        <v>26407</v>
      </c>
      <c r="AF32" s="431"/>
      <c r="AG32" s="419">
        <v>51566</v>
      </c>
      <c r="AH32" s="419">
        <v>43008</v>
      </c>
      <c r="AI32" s="419">
        <v>43765</v>
      </c>
      <c r="AJ32" s="419">
        <v>46240</v>
      </c>
      <c r="AL32" s="224"/>
      <c r="AM32" s="224"/>
      <c r="AN32" s="227"/>
    </row>
    <row r="33" spans="1:40" s="179" customFormat="1" ht="15" hidden="1" customHeight="1" outlineLevel="1" x14ac:dyDescent="0.25">
      <c r="A33" s="163" t="str">
        <f>IF(Contents!$A$1=2,"Other taxes prepaid","Дебиторская задолженность по прочим налогам")</f>
        <v>Дебиторская задолженность по прочим налогам</v>
      </c>
      <c r="B33" s="249" t="str">
        <f>IF(Contents!$A$1=2,"mln RUB","млн руб.")</f>
        <v>млн руб.</v>
      </c>
      <c r="C33" s="180"/>
      <c r="D33" s="419">
        <v>25189</v>
      </c>
      <c r="E33" s="428"/>
      <c r="F33" s="419">
        <v>20697</v>
      </c>
      <c r="G33" s="428"/>
      <c r="H33" s="419">
        <v>19278</v>
      </c>
      <c r="I33" s="419">
        <v>19965</v>
      </c>
      <c r="J33" s="419">
        <v>14326</v>
      </c>
      <c r="K33" s="419">
        <v>22480</v>
      </c>
      <c r="L33" s="431"/>
      <c r="M33" s="419">
        <v>23325</v>
      </c>
      <c r="N33" s="419">
        <v>17551</v>
      </c>
      <c r="O33" s="419">
        <v>17626</v>
      </c>
      <c r="P33" s="419">
        <v>3792</v>
      </c>
      <c r="Q33" s="431"/>
      <c r="R33" s="419">
        <v>4148</v>
      </c>
      <c r="S33" s="419">
        <v>4099</v>
      </c>
      <c r="T33" s="419">
        <v>4164</v>
      </c>
      <c r="U33" s="419">
        <v>4023</v>
      </c>
      <c r="V33" s="431"/>
      <c r="W33" s="419">
        <v>3469</v>
      </c>
      <c r="X33" s="419">
        <v>4266</v>
      </c>
      <c r="Y33" s="419">
        <v>2059</v>
      </c>
      <c r="Z33" s="419">
        <v>5128</v>
      </c>
      <c r="AA33" s="431"/>
      <c r="AB33" s="419">
        <v>5666</v>
      </c>
      <c r="AC33" s="419">
        <v>4906</v>
      </c>
      <c r="AD33" s="419">
        <v>1817</v>
      </c>
      <c r="AE33" s="419">
        <v>5133</v>
      </c>
      <c r="AF33" s="431"/>
      <c r="AG33" s="419">
        <v>3933</v>
      </c>
      <c r="AH33" s="419">
        <v>7695</v>
      </c>
      <c r="AI33" s="419">
        <v>8687</v>
      </c>
      <c r="AJ33" s="419">
        <v>6225</v>
      </c>
      <c r="AL33" s="224"/>
      <c r="AM33" s="224"/>
      <c r="AN33" s="227"/>
    </row>
    <row r="34" spans="1:40" s="1" customFormat="1" ht="15" customHeight="1" collapsed="1" x14ac:dyDescent="0.25">
      <c r="A34" s="83" t="str">
        <f>IF(Contents!$A$1=2,"Other current assets","Прочие оборотные активы")</f>
        <v>Прочие оборотные активы</v>
      </c>
      <c r="B34" s="248" t="str">
        <f>IF(Contents!$A$1=2,"mln RUB","млн руб.")</f>
        <v>млн руб.</v>
      </c>
      <c r="C34" s="84"/>
      <c r="D34" s="429">
        <v>50470</v>
      </c>
      <c r="E34" s="418"/>
      <c r="F34" s="429">
        <v>62826</v>
      </c>
      <c r="G34" s="418"/>
      <c r="H34" s="429">
        <v>55975</v>
      </c>
      <c r="I34" s="429">
        <v>61063</v>
      </c>
      <c r="J34" s="429">
        <v>43093</v>
      </c>
      <c r="K34" s="429">
        <v>83175</v>
      </c>
      <c r="L34" s="430"/>
      <c r="M34" s="429">
        <v>52212</v>
      </c>
      <c r="N34" s="429">
        <v>54590</v>
      </c>
      <c r="O34" s="429">
        <v>75158</v>
      </c>
      <c r="P34" s="429">
        <v>54367</v>
      </c>
      <c r="Q34" s="430"/>
      <c r="R34" s="429">
        <v>57144</v>
      </c>
      <c r="S34" s="429">
        <v>57096</v>
      </c>
      <c r="T34" s="429">
        <v>54930</v>
      </c>
      <c r="U34" s="429">
        <v>52336</v>
      </c>
      <c r="V34" s="430"/>
      <c r="W34" s="429">
        <v>49654</v>
      </c>
      <c r="X34" s="429">
        <v>37834</v>
      </c>
      <c r="Y34" s="429">
        <v>46046</v>
      </c>
      <c r="Z34" s="429">
        <v>42412</v>
      </c>
      <c r="AA34" s="430"/>
      <c r="AB34" s="429">
        <v>56188</v>
      </c>
      <c r="AC34" s="429">
        <v>45868</v>
      </c>
      <c r="AD34" s="429">
        <v>53390</v>
      </c>
      <c r="AE34" s="429">
        <v>48649</v>
      </c>
      <c r="AF34" s="430"/>
      <c r="AG34" s="429">
        <v>99722</v>
      </c>
      <c r="AH34" s="429">
        <v>79725</v>
      </c>
      <c r="AI34" s="429">
        <v>74309</v>
      </c>
      <c r="AJ34" s="429">
        <v>116228</v>
      </c>
      <c r="AK34" s="206"/>
      <c r="AL34" s="224"/>
      <c r="AM34" s="224"/>
      <c r="AN34" s="227"/>
    </row>
    <row r="35" spans="1:40" s="179" customFormat="1" ht="15" hidden="1" customHeight="1" outlineLevel="1" x14ac:dyDescent="0.25">
      <c r="A35" s="163" t="str">
        <f>IF(Contents!$A$1=2,"Advance payments","Авансы выданные")</f>
        <v>Авансы выданные</v>
      </c>
      <c r="B35" s="249" t="str">
        <f>IF(Contents!$A$1=2,"mln RUB","млн руб.")</f>
        <v>млн руб.</v>
      </c>
      <c r="C35" s="180"/>
      <c r="D35" s="419">
        <v>15902</v>
      </c>
      <c r="E35" s="428"/>
      <c r="F35" s="419">
        <v>16341</v>
      </c>
      <c r="G35" s="428"/>
      <c r="H35" s="419">
        <v>13747</v>
      </c>
      <c r="I35" s="419">
        <v>25681</v>
      </c>
      <c r="J35" s="419">
        <v>11051</v>
      </c>
      <c r="K35" s="419">
        <v>48157</v>
      </c>
      <c r="L35" s="431"/>
      <c r="M35" s="419">
        <v>19776</v>
      </c>
      <c r="N35" s="419">
        <v>22009</v>
      </c>
      <c r="O35" s="419">
        <v>40049</v>
      </c>
      <c r="P35" s="419">
        <v>17487</v>
      </c>
      <c r="Q35" s="431"/>
      <c r="R35" s="419">
        <v>16513</v>
      </c>
      <c r="S35" s="419">
        <v>16558</v>
      </c>
      <c r="T35" s="419">
        <v>18435</v>
      </c>
      <c r="U35" s="419">
        <v>19851</v>
      </c>
      <c r="V35" s="431"/>
      <c r="W35" s="419">
        <v>11791</v>
      </c>
      <c r="X35" s="419">
        <v>8254</v>
      </c>
      <c r="Y35" s="419">
        <v>14563</v>
      </c>
      <c r="Z35" s="419">
        <v>10246</v>
      </c>
      <c r="AA35" s="431"/>
      <c r="AB35" s="419">
        <v>11462</v>
      </c>
      <c r="AC35" s="419">
        <v>13075</v>
      </c>
      <c r="AD35" s="419">
        <v>17129</v>
      </c>
      <c r="AE35" s="419">
        <v>15904</v>
      </c>
      <c r="AF35" s="431"/>
      <c r="AG35" s="419">
        <v>41769</v>
      </c>
      <c r="AH35" s="419">
        <v>35580</v>
      </c>
      <c r="AI35" s="419">
        <v>28913</v>
      </c>
      <c r="AJ35" s="419">
        <v>57124</v>
      </c>
      <c r="AL35" s="224"/>
      <c r="AM35" s="224"/>
      <c r="AN35" s="222"/>
    </row>
    <row r="36" spans="1:40" s="179" customFormat="1" ht="15" hidden="1" customHeight="1" outlineLevel="1" x14ac:dyDescent="0.25">
      <c r="A36" s="163" t="str">
        <f>IF(Contents!$A$1=2,"Prepaid expenses","Расходы будущих периодов")</f>
        <v>Расходы будущих периодов</v>
      </c>
      <c r="B36" s="249" t="str">
        <f>IF(Contents!$A$1=2,"mln RUB","млн руб.")</f>
        <v>млн руб.</v>
      </c>
      <c r="C36" s="180"/>
      <c r="D36" s="419">
        <v>25357</v>
      </c>
      <c r="E36" s="428"/>
      <c r="F36" s="419">
        <v>31960</v>
      </c>
      <c r="G36" s="428"/>
      <c r="H36" s="419">
        <v>30488</v>
      </c>
      <c r="I36" s="419">
        <v>25910</v>
      </c>
      <c r="J36" s="419">
        <v>20646</v>
      </c>
      <c r="K36" s="419">
        <v>23172</v>
      </c>
      <c r="L36" s="431"/>
      <c r="M36" s="419">
        <v>20862</v>
      </c>
      <c r="N36" s="419">
        <v>21090</v>
      </c>
      <c r="O36" s="419">
        <v>20602</v>
      </c>
      <c r="P36" s="419">
        <v>23072</v>
      </c>
      <c r="Q36" s="431"/>
      <c r="R36" s="419">
        <v>20587</v>
      </c>
      <c r="S36" s="419">
        <v>24533</v>
      </c>
      <c r="T36" s="419">
        <v>19645</v>
      </c>
      <c r="U36" s="419">
        <v>22139</v>
      </c>
      <c r="V36" s="431"/>
      <c r="W36" s="419">
        <v>21292</v>
      </c>
      <c r="X36" s="419">
        <v>19735</v>
      </c>
      <c r="Y36" s="419">
        <v>21556</v>
      </c>
      <c r="Z36" s="419">
        <v>23673</v>
      </c>
      <c r="AA36" s="431"/>
      <c r="AB36" s="419">
        <v>28749</v>
      </c>
      <c r="AC36" s="419">
        <v>21849</v>
      </c>
      <c r="AD36" s="419">
        <v>22457</v>
      </c>
      <c r="AE36" s="419">
        <v>21622</v>
      </c>
      <c r="AF36" s="431"/>
      <c r="AG36" s="419">
        <v>19094</v>
      </c>
      <c r="AH36" s="419">
        <v>19699</v>
      </c>
      <c r="AI36" s="419">
        <v>18502</v>
      </c>
      <c r="AJ36" s="419">
        <v>24162</v>
      </c>
      <c r="AL36" s="224"/>
      <c r="AM36" s="224"/>
      <c r="AN36" s="227"/>
    </row>
    <row r="37" spans="1:40" s="179" customFormat="1" ht="15" hidden="1" customHeight="1" outlineLevel="1" x14ac:dyDescent="0.25">
      <c r="A37" s="163" t="str">
        <f>IF(Contents!$A$1=2,"Other assets","Прочие активы")</f>
        <v>Прочие активы</v>
      </c>
      <c r="B37" s="249" t="str">
        <f>IF(Contents!$A$1=2,"mln RUB","млн руб.")</f>
        <v>млн руб.</v>
      </c>
      <c r="C37" s="180"/>
      <c r="D37" s="419">
        <v>9211</v>
      </c>
      <c r="E37" s="428"/>
      <c r="F37" s="419">
        <v>14525</v>
      </c>
      <c r="G37" s="428"/>
      <c r="H37" s="419">
        <v>11740</v>
      </c>
      <c r="I37" s="419">
        <v>9472</v>
      </c>
      <c r="J37" s="419">
        <v>11396</v>
      </c>
      <c r="K37" s="419">
        <v>11846</v>
      </c>
      <c r="L37" s="431"/>
      <c r="M37" s="419">
        <v>11574</v>
      </c>
      <c r="N37" s="419">
        <v>11491</v>
      </c>
      <c r="O37" s="419">
        <v>14507</v>
      </c>
      <c r="P37" s="419">
        <v>13808</v>
      </c>
      <c r="Q37" s="431"/>
      <c r="R37" s="419">
        <v>20044</v>
      </c>
      <c r="S37" s="419">
        <v>16005</v>
      </c>
      <c r="T37" s="419">
        <v>16850</v>
      </c>
      <c r="U37" s="419">
        <v>10346</v>
      </c>
      <c r="V37" s="431"/>
      <c r="W37" s="419">
        <v>16571</v>
      </c>
      <c r="X37" s="419">
        <v>9845</v>
      </c>
      <c r="Y37" s="419">
        <v>9927</v>
      </c>
      <c r="Z37" s="419">
        <v>8493</v>
      </c>
      <c r="AA37" s="431"/>
      <c r="AB37" s="419">
        <v>15977</v>
      </c>
      <c r="AC37" s="419">
        <v>10944</v>
      </c>
      <c r="AD37" s="419">
        <v>13804</v>
      </c>
      <c r="AE37" s="419">
        <v>11123</v>
      </c>
      <c r="AF37" s="431"/>
      <c r="AG37" s="419">
        <v>38859</v>
      </c>
      <c r="AH37" s="419">
        <v>24446</v>
      </c>
      <c r="AI37" s="419">
        <v>26894</v>
      </c>
      <c r="AJ37" s="419">
        <v>34942</v>
      </c>
      <c r="AL37" s="224"/>
      <c r="AM37" s="224"/>
      <c r="AN37" s="227"/>
    </row>
    <row r="38" spans="1:40" s="1" customFormat="1" ht="15" customHeight="1" x14ac:dyDescent="0.25">
      <c r="A38" s="87" t="str">
        <f>IF(Contents!$A$1=2,"Assets held for sale","Активы для продажи")</f>
        <v>Активы для продажи</v>
      </c>
      <c r="B38" s="250" t="str">
        <f>IF(Contents!$A$1=2,"mln RUB","млн руб.")</f>
        <v>млн руб.</v>
      </c>
      <c r="C38" s="84"/>
      <c r="D38" s="417">
        <v>66233</v>
      </c>
      <c r="E38" s="418"/>
      <c r="F38" s="417">
        <v>0</v>
      </c>
      <c r="G38" s="418"/>
      <c r="H38" s="417">
        <v>0</v>
      </c>
      <c r="I38" s="417">
        <v>0</v>
      </c>
      <c r="J38" s="417">
        <v>0</v>
      </c>
      <c r="K38" s="417">
        <v>35309</v>
      </c>
      <c r="L38" s="418"/>
      <c r="M38" s="417">
        <v>36136</v>
      </c>
      <c r="N38" s="417">
        <v>0</v>
      </c>
      <c r="O38" s="417">
        <v>0</v>
      </c>
      <c r="P38" s="417">
        <v>0</v>
      </c>
      <c r="Q38" s="418"/>
      <c r="R38" s="417">
        <v>0</v>
      </c>
      <c r="S38" s="417">
        <v>0</v>
      </c>
      <c r="T38" s="417">
        <v>0</v>
      </c>
      <c r="U38" s="417">
        <v>0</v>
      </c>
      <c r="V38" s="418"/>
      <c r="W38" s="417">
        <v>0</v>
      </c>
      <c r="X38" s="417">
        <v>0</v>
      </c>
      <c r="Y38" s="417">
        <v>0</v>
      </c>
      <c r="Z38" s="417">
        <v>0</v>
      </c>
      <c r="AA38" s="418"/>
      <c r="AB38" s="417">
        <v>0</v>
      </c>
      <c r="AC38" s="417">
        <v>0</v>
      </c>
      <c r="AD38" s="417">
        <v>0</v>
      </c>
      <c r="AE38" s="417">
        <v>0</v>
      </c>
      <c r="AF38" s="418"/>
      <c r="AG38" s="417">
        <v>0</v>
      </c>
      <c r="AH38" s="417">
        <v>0</v>
      </c>
      <c r="AI38" s="417">
        <v>0</v>
      </c>
      <c r="AJ38" s="417">
        <v>0</v>
      </c>
      <c r="AK38" s="206"/>
      <c r="AL38" s="224"/>
      <c r="AM38" s="224"/>
      <c r="AN38" s="227"/>
    </row>
    <row r="39" spans="1:40" s="1" customFormat="1" ht="15" customHeight="1" x14ac:dyDescent="0.25">
      <c r="A39" s="89" t="str">
        <f>IF(Contents!$A$1=2,"Total current assets","Итого оборотные активы")</f>
        <v>Итого оборотные активы</v>
      </c>
      <c r="B39" s="251" t="str">
        <f>IF(Contents!$A$1=2,"mln RUB","млн руб.")</f>
        <v>млн руб.</v>
      </c>
      <c r="C39" s="82"/>
      <c r="D39" s="457">
        <v>1236227</v>
      </c>
      <c r="E39" s="426"/>
      <c r="F39" s="457">
        <v>1213647</v>
      </c>
      <c r="G39" s="426"/>
      <c r="H39" s="457">
        <v>1208062</v>
      </c>
      <c r="I39" s="457">
        <v>1284902</v>
      </c>
      <c r="J39" s="457">
        <v>1173823</v>
      </c>
      <c r="K39" s="457">
        <v>1255641</v>
      </c>
      <c r="L39" s="426"/>
      <c r="M39" s="457">
        <v>1088461</v>
      </c>
      <c r="N39" s="457">
        <v>1126574</v>
      </c>
      <c r="O39" s="457">
        <v>1166226</v>
      </c>
      <c r="P39" s="457">
        <v>1308114</v>
      </c>
      <c r="Q39" s="426"/>
      <c r="R39" s="457">
        <v>1280391</v>
      </c>
      <c r="S39" s="457">
        <v>1465528</v>
      </c>
      <c r="T39" s="457">
        <v>1618600</v>
      </c>
      <c r="U39" s="457">
        <v>1478479</v>
      </c>
      <c r="V39" s="426"/>
      <c r="W39" s="457">
        <v>1498146</v>
      </c>
      <c r="X39" s="457">
        <v>1586417</v>
      </c>
      <c r="Y39" s="457">
        <v>1484617</v>
      </c>
      <c r="Z39" s="457">
        <v>1554187</v>
      </c>
      <c r="AA39" s="426"/>
      <c r="AB39" s="457">
        <v>1452164</v>
      </c>
      <c r="AC39" s="457">
        <v>1475130</v>
      </c>
      <c r="AD39" s="457">
        <v>1442886</v>
      </c>
      <c r="AE39" s="457">
        <v>1276460</v>
      </c>
      <c r="AF39" s="426"/>
      <c r="AG39" s="457">
        <v>1651400</v>
      </c>
      <c r="AH39" s="457">
        <v>1838580</v>
      </c>
      <c r="AI39" s="457">
        <v>1984556</v>
      </c>
      <c r="AJ39" s="457">
        <v>2149157</v>
      </c>
      <c r="AK39" s="206"/>
      <c r="AL39" s="224"/>
      <c r="AM39" s="224"/>
      <c r="AN39" s="222"/>
    </row>
    <row r="40" spans="1:40" s="1" customFormat="1" ht="15" customHeight="1" x14ac:dyDescent="0.25">
      <c r="A40" s="83" t="str">
        <f>IF(Contents!$A$1=2,"Property, plant and equipment","Основные средства")</f>
        <v>Основные средства</v>
      </c>
      <c r="B40" s="248" t="str">
        <f>IF(Contents!$A$1=2,"mln RUB","млн руб.")</f>
        <v>млн руб.</v>
      </c>
      <c r="C40" s="84"/>
      <c r="D40" s="429">
        <v>3153579</v>
      </c>
      <c r="E40" s="418"/>
      <c r="F40" s="429">
        <v>3411153</v>
      </c>
      <c r="G40" s="418"/>
      <c r="H40" s="429">
        <v>3382080</v>
      </c>
      <c r="I40" s="429">
        <v>3380811</v>
      </c>
      <c r="J40" s="429">
        <v>3413480</v>
      </c>
      <c r="K40" s="429">
        <v>3391366</v>
      </c>
      <c r="L40" s="430"/>
      <c r="M40" s="429">
        <v>3377943</v>
      </c>
      <c r="N40" s="429">
        <v>3471528</v>
      </c>
      <c r="O40" s="429">
        <v>3504439</v>
      </c>
      <c r="P40" s="429">
        <v>3575165</v>
      </c>
      <c r="Q40" s="430"/>
      <c r="R40" s="429">
        <v>3588523</v>
      </c>
      <c r="S40" s="429">
        <v>3665714</v>
      </c>
      <c r="T40" s="429">
        <v>3722586</v>
      </c>
      <c r="U40" s="429">
        <v>3829164</v>
      </c>
      <c r="V40" s="430"/>
      <c r="W40" s="429">
        <v>3921362</v>
      </c>
      <c r="X40" s="429">
        <v>3918119</v>
      </c>
      <c r="Y40" s="429">
        <v>3977151</v>
      </c>
      <c r="Z40" s="429">
        <v>4026007</v>
      </c>
      <c r="AA40" s="430"/>
      <c r="AB40" s="429">
        <v>4258283</v>
      </c>
      <c r="AC40" s="429">
        <v>4145254</v>
      </c>
      <c r="AD40" s="429">
        <v>4313143</v>
      </c>
      <c r="AE40" s="429">
        <v>4264474</v>
      </c>
      <c r="AF40" s="430"/>
      <c r="AG40" s="429">
        <v>4255270</v>
      </c>
      <c r="AH40" s="429">
        <v>4217399</v>
      </c>
      <c r="AI40" s="429">
        <v>4195199</v>
      </c>
      <c r="AJ40" s="429">
        <v>4263130</v>
      </c>
      <c r="AK40" s="206"/>
      <c r="AL40" s="224"/>
      <c r="AM40" s="224"/>
      <c r="AN40" s="222"/>
    </row>
    <row r="41" spans="1:40" s="1" customFormat="1" ht="15" customHeight="1" collapsed="1" x14ac:dyDescent="0.25">
      <c r="A41" s="83" t="str">
        <f>IF(Contents!$A$1=2,"Investments in associates and joint ventures","Инвестиции в зависимые и совместные предприятия")</f>
        <v>Инвестиции в зависимые и совместные предприятия</v>
      </c>
      <c r="B41" s="248" t="str">
        <f>IF(Contents!$A$1=2,"mln RUB","млн руб.")</f>
        <v>млн руб.</v>
      </c>
      <c r="C41" s="84"/>
      <c r="D41" s="429">
        <v>145404</v>
      </c>
      <c r="E41" s="418"/>
      <c r="F41" s="429">
        <v>181744</v>
      </c>
      <c r="G41" s="418"/>
      <c r="H41" s="429">
        <v>171674</v>
      </c>
      <c r="I41" s="429">
        <v>169047</v>
      </c>
      <c r="J41" s="429">
        <v>166988</v>
      </c>
      <c r="K41" s="429">
        <v>162405</v>
      </c>
      <c r="L41" s="430"/>
      <c r="M41" s="429">
        <v>155914</v>
      </c>
      <c r="N41" s="429">
        <v>166520</v>
      </c>
      <c r="O41" s="429">
        <v>167743</v>
      </c>
      <c r="P41" s="429">
        <v>164286</v>
      </c>
      <c r="Q41" s="430"/>
      <c r="R41" s="429">
        <v>168245</v>
      </c>
      <c r="S41" s="429">
        <v>187414</v>
      </c>
      <c r="T41" s="429">
        <v>199980</v>
      </c>
      <c r="U41" s="429">
        <v>228053</v>
      </c>
      <c r="V41" s="430"/>
      <c r="W41" s="429">
        <v>219759</v>
      </c>
      <c r="X41" s="429">
        <v>218150</v>
      </c>
      <c r="Y41" s="429">
        <v>226620</v>
      </c>
      <c r="Z41" s="429">
        <v>220004</v>
      </c>
      <c r="AA41" s="430"/>
      <c r="AB41" s="429">
        <v>274908</v>
      </c>
      <c r="AC41" s="429">
        <v>250144</v>
      </c>
      <c r="AD41" s="429">
        <v>283435</v>
      </c>
      <c r="AE41" s="429">
        <v>281637</v>
      </c>
      <c r="AF41" s="430"/>
      <c r="AG41" s="429">
        <v>292958</v>
      </c>
      <c r="AH41" s="429">
        <v>273857</v>
      </c>
      <c r="AI41" s="429">
        <v>274136</v>
      </c>
      <c r="AJ41" s="429">
        <v>281532</v>
      </c>
      <c r="AK41" s="206"/>
      <c r="AL41" s="224"/>
      <c r="AM41" s="224"/>
      <c r="AN41" s="222"/>
    </row>
    <row r="42" spans="1:40" s="179" customFormat="1" ht="15" hidden="1" customHeight="1" outlineLevel="1" x14ac:dyDescent="0.25">
      <c r="A42" s="181" t="str">
        <f>IF(Contents!$A$1=2,"Joint Ventures:","Совместные предприятия:")</f>
        <v>Совместные предприятия:</v>
      </c>
      <c r="B42" s="252"/>
      <c r="C42" s="180"/>
      <c r="D42" s="419"/>
      <c r="E42" s="428"/>
      <c r="F42" s="419"/>
      <c r="G42" s="428"/>
      <c r="H42" s="419"/>
      <c r="I42" s="419"/>
      <c r="J42" s="419"/>
      <c r="K42" s="419"/>
      <c r="L42" s="431"/>
      <c r="M42" s="419"/>
      <c r="N42" s="419"/>
      <c r="O42" s="419"/>
      <c r="P42" s="419"/>
      <c r="Q42" s="431"/>
      <c r="R42" s="419"/>
      <c r="S42" s="419"/>
      <c r="T42" s="419"/>
      <c r="U42" s="419"/>
      <c r="V42" s="431"/>
      <c r="W42" s="419"/>
      <c r="X42" s="419"/>
      <c r="Y42" s="419"/>
      <c r="Z42" s="419"/>
      <c r="AA42" s="431"/>
      <c r="AB42" s="419"/>
      <c r="AC42" s="419"/>
      <c r="AD42" s="419"/>
      <c r="AE42" s="419"/>
      <c r="AF42" s="431"/>
      <c r="AG42" s="419"/>
      <c r="AH42" s="419"/>
      <c r="AI42" s="419"/>
      <c r="AJ42" s="419"/>
      <c r="AL42" s="224"/>
      <c r="AM42" s="224"/>
      <c r="AN42" s="222"/>
    </row>
    <row r="43" spans="1:40" s="179" customFormat="1" ht="15" hidden="1" customHeight="1" outlineLevel="1" x14ac:dyDescent="0.25">
      <c r="A43" s="356" t="str">
        <f>IF(Contents!$A$1=2,"Tengizchevroil","Тенгизшевройл")</f>
        <v>Тенгизшевройл</v>
      </c>
      <c r="B43" s="249" t="str">
        <f>IF(Contents!$A$1=2,"mln RUB","млн руб.")</f>
        <v>млн руб.</v>
      </c>
      <c r="C43" s="180"/>
      <c r="D43" s="419">
        <v>75904</v>
      </c>
      <c r="E43" s="428"/>
      <c r="F43" s="419">
        <v>99843</v>
      </c>
      <c r="G43" s="428"/>
      <c r="H43" s="419">
        <v>93488</v>
      </c>
      <c r="I43" s="419">
        <v>90752</v>
      </c>
      <c r="J43" s="419">
        <v>88091</v>
      </c>
      <c r="K43" s="419">
        <v>86851</v>
      </c>
      <c r="L43" s="431"/>
      <c r="M43" s="419">
        <v>82691</v>
      </c>
      <c r="N43" s="419">
        <v>88991</v>
      </c>
      <c r="O43" s="419">
        <v>89468</v>
      </c>
      <c r="P43" s="419">
        <v>88390</v>
      </c>
      <c r="Q43" s="431"/>
      <c r="R43" s="419">
        <v>91442</v>
      </c>
      <c r="S43" s="419">
        <v>102903</v>
      </c>
      <c r="T43" s="419">
        <v>110516</v>
      </c>
      <c r="U43" s="419">
        <v>121204</v>
      </c>
      <c r="V43" s="431"/>
      <c r="W43" s="419">
        <v>116448</v>
      </c>
      <c r="X43" s="419">
        <v>116679</v>
      </c>
      <c r="Y43" s="419">
        <v>121694</v>
      </c>
      <c r="Z43" s="419">
        <v>119924</v>
      </c>
      <c r="AA43" s="431"/>
      <c r="AB43" s="419">
        <v>152196</v>
      </c>
      <c r="AC43" s="419">
        <v>136171</v>
      </c>
      <c r="AD43" s="419">
        <v>156355</v>
      </c>
      <c r="AE43" s="419">
        <v>146611</v>
      </c>
      <c r="AF43" s="431"/>
      <c r="AG43" s="419">
        <v>152910</v>
      </c>
      <c r="AH43" s="419">
        <v>149346</v>
      </c>
      <c r="AI43" s="419">
        <v>153368</v>
      </c>
      <c r="AJ43" s="419">
        <v>153918</v>
      </c>
      <c r="AL43" s="224"/>
      <c r="AM43" s="224"/>
      <c r="AN43" s="227"/>
    </row>
    <row r="44" spans="1:40" s="179" customFormat="1" ht="15" hidden="1" customHeight="1" outlineLevel="1" x14ac:dyDescent="0.25">
      <c r="A44" s="356" t="str">
        <f>IF(Contents!$A$1=2,"Caspian Pipeline Consortium","Каспийский трубопроводный консорциум")</f>
        <v>Каспийский трубопроводный консорциум</v>
      </c>
      <c r="B44" s="249" t="str">
        <f>IF(Contents!$A$1=2,"mln RUB","млн руб.")</f>
        <v>млн руб.</v>
      </c>
      <c r="C44" s="180"/>
      <c r="D44" s="419">
        <v>18229</v>
      </c>
      <c r="E44" s="428"/>
      <c r="F44" s="419">
        <v>27574</v>
      </c>
      <c r="G44" s="428"/>
      <c r="H44" s="419">
        <v>26199</v>
      </c>
      <c r="I44" s="419">
        <v>25590</v>
      </c>
      <c r="J44" s="419">
        <v>25602</v>
      </c>
      <c r="K44" s="419">
        <v>25032</v>
      </c>
      <c r="L44" s="431"/>
      <c r="M44" s="419">
        <v>24134</v>
      </c>
      <c r="N44" s="419">
        <v>26045</v>
      </c>
      <c r="O44" s="419">
        <v>26380</v>
      </c>
      <c r="P44" s="419">
        <v>27282</v>
      </c>
      <c r="Q44" s="431"/>
      <c r="R44" s="419">
        <v>28003</v>
      </c>
      <c r="S44" s="419">
        <v>31963</v>
      </c>
      <c r="T44" s="419">
        <v>34569</v>
      </c>
      <c r="U44" s="419">
        <v>39346</v>
      </c>
      <c r="V44" s="431"/>
      <c r="W44" s="419">
        <v>38131</v>
      </c>
      <c r="X44" s="419">
        <v>38357</v>
      </c>
      <c r="Y44" s="419">
        <v>40784</v>
      </c>
      <c r="Z44" s="419">
        <v>40670</v>
      </c>
      <c r="AA44" s="431"/>
      <c r="AB44" s="419">
        <v>53927</v>
      </c>
      <c r="AC44" s="419">
        <v>50151</v>
      </c>
      <c r="AD44" s="419">
        <v>59217</v>
      </c>
      <c r="AE44" s="419">
        <v>56027</v>
      </c>
      <c r="AF44" s="431"/>
      <c r="AG44" s="419">
        <v>59462</v>
      </c>
      <c r="AH44" s="419">
        <v>51498</v>
      </c>
      <c r="AI44" s="419">
        <v>51031</v>
      </c>
      <c r="AJ44" s="419">
        <v>53183</v>
      </c>
      <c r="AL44" s="224"/>
      <c r="AM44" s="224"/>
      <c r="AN44" s="227"/>
    </row>
    <row r="45" spans="1:40" s="179" customFormat="1" ht="15" hidden="1" customHeight="1" outlineLevel="1" x14ac:dyDescent="0.25">
      <c r="A45" s="356" t="str">
        <f>IF(Contents!$A$1=2,"Others","Прочие")</f>
        <v>Прочие</v>
      </c>
      <c r="B45" s="249" t="str">
        <f>IF(Contents!$A$1=2,"mln RUB","млн руб.")</f>
        <v>млн руб.</v>
      </c>
      <c r="C45" s="180"/>
      <c r="D45" s="419">
        <v>9432</v>
      </c>
      <c r="E45" s="428"/>
      <c r="F45" s="419">
        <v>1675</v>
      </c>
      <c r="G45" s="428"/>
      <c r="H45" s="419">
        <v>1687</v>
      </c>
      <c r="I45" s="419">
        <v>1763</v>
      </c>
      <c r="J45" s="419">
        <v>1955</v>
      </c>
      <c r="K45" s="419">
        <v>1650</v>
      </c>
      <c r="L45" s="431"/>
      <c r="M45" s="419">
        <v>1823</v>
      </c>
      <c r="N45" s="419">
        <v>1210</v>
      </c>
      <c r="O45" s="419">
        <v>866</v>
      </c>
      <c r="P45" s="419">
        <v>474</v>
      </c>
      <c r="Q45" s="431"/>
      <c r="R45" s="419">
        <v>432</v>
      </c>
      <c r="S45" s="419">
        <v>470</v>
      </c>
      <c r="T45" s="419">
        <v>702</v>
      </c>
      <c r="U45" s="419">
        <v>623</v>
      </c>
      <c r="V45" s="431"/>
      <c r="W45" s="419">
        <v>574</v>
      </c>
      <c r="X45" s="419">
        <v>456</v>
      </c>
      <c r="Y45" s="419">
        <v>718</v>
      </c>
      <c r="Z45" s="419">
        <v>655</v>
      </c>
      <c r="AA45" s="431"/>
      <c r="AB45" s="419">
        <v>1174</v>
      </c>
      <c r="AC45" s="419">
        <v>938</v>
      </c>
      <c r="AD45" s="419">
        <v>180</v>
      </c>
      <c r="AE45" s="419">
        <v>0</v>
      </c>
      <c r="AF45" s="431"/>
      <c r="AG45" s="419">
        <v>0</v>
      </c>
      <c r="AH45" s="419">
        <v>0</v>
      </c>
      <c r="AI45" s="419">
        <v>0</v>
      </c>
      <c r="AJ45" s="419">
        <v>0</v>
      </c>
      <c r="AL45" s="224"/>
      <c r="AM45" s="224"/>
      <c r="AN45" s="227"/>
    </row>
    <row r="46" spans="1:40" s="179" customFormat="1" ht="15" hidden="1" customHeight="1" outlineLevel="1" x14ac:dyDescent="0.25">
      <c r="A46" s="357" t="str">
        <f>IF(Contents!$A$1=2,"South Caucasus Pipeline Company","Южно-Кавказская трубопроводная компания")</f>
        <v>Южно-Кавказская трубопроводная компания</v>
      </c>
      <c r="B46" s="249" t="str">
        <f>IF(Contents!$A$1=2,"mln RUB","млн руб.")</f>
        <v>млн руб.</v>
      </c>
      <c r="C46" s="180"/>
      <c r="D46" s="419">
        <v>10660</v>
      </c>
      <c r="E46" s="428"/>
      <c r="F46" s="419">
        <v>22284</v>
      </c>
      <c r="G46" s="428"/>
      <c r="H46" s="419">
        <v>21781</v>
      </c>
      <c r="I46" s="419">
        <v>22246</v>
      </c>
      <c r="J46" s="419">
        <v>23507</v>
      </c>
      <c r="K46" s="419">
        <v>23738</v>
      </c>
      <c r="L46" s="431"/>
      <c r="M46" s="419">
        <v>23440</v>
      </c>
      <c r="N46" s="419">
        <v>25489</v>
      </c>
      <c r="O46" s="419">
        <v>26013</v>
      </c>
      <c r="P46" s="419">
        <v>26965</v>
      </c>
      <c r="Q46" s="431"/>
      <c r="R46" s="419">
        <v>27847</v>
      </c>
      <c r="S46" s="419">
        <v>30737</v>
      </c>
      <c r="T46" s="419">
        <v>32630</v>
      </c>
      <c r="U46" s="419">
        <v>34789</v>
      </c>
      <c r="V46" s="431"/>
      <c r="W46" s="419">
        <v>32904</v>
      </c>
      <c r="X46" s="419">
        <v>31773</v>
      </c>
      <c r="Y46" s="419">
        <v>32559</v>
      </c>
      <c r="Z46" s="419">
        <v>30241</v>
      </c>
      <c r="AA46" s="431"/>
      <c r="AB46" s="419">
        <v>38726</v>
      </c>
      <c r="AC46" s="419">
        <v>34957</v>
      </c>
      <c r="AD46" s="419">
        <v>38856</v>
      </c>
      <c r="AE46" s="419">
        <v>34663</v>
      </c>
      <c r="AF46" s="431"/>
      <c r="AG46" s="419">
        <v>36791</v>
      </c>
      <c r="AH46" s="419">
        <v>34529</v>
      </c>
      <c r="AI46" s="419">
        <v>33581</v>
      </c>
      <c r="AJ46" s="419">
        <v>33697</v>
      </c>
      <c r="AL46" s="224"/>
      <c r="AM46" s="224"/>
      <c r="AN46" s="227"/>
    </row>
    <row r="47" spans="1:40" s="179" customFormat="1" ht="15" hidden="1" customHeight="1" outlineLevel="1" x14ac:dyDescent="0.25">
      <c r="A47" s="345" t="str">
        <f>IF(Contents!$A$1=2,"Associates","Зависимые компании")</f>
        <v>Зависимые компании</v>
      </c>
      <c r="B47" s="249" t="str">
        <f>IF(Contents!$A$1=2,"mln RUB","млн руб.")</f>
        <v>млн руб.</v>
      </c>
      <c r="C47" s="180"/>
      <c r="D47" s="419">
        <v>31179</v>
      </c>
      <c r="E47" s="428"/>
      <c r="F47" s="419">
        <v>30368</v>
      </c>
      <c r="G47" s="428"/>
      <c r="H47" s="419">
        <v>28519</v>
      </c>
      <c r="I47" s="419">
        <v>28696</v>
      </c>
      <c r="J47" s="419">
        <v>27833</v>
      </c>
      <c r="K47" s="419">
        <v>25134</v>
      </c>
      <c r="L47" s="431"/>
      <c r="M47" s="419">
        <v>23826</v>
      </c>
      <c r="N47" s="419">
        <v>24785</v>
      </c>
      <c r="O47" s="419">
        <v>25016</v>
      </c>
      <c r="P47" s="419">
        <v>21175</v>
      </c>
      <c r="Q47" s="431"/>
      <c r="R47" s="419">
        <v>20521</v>
      </c>
      <c r="S47" s="419">
        <v>21341</v>
      </c>
      <c r="T47" s="419">
        <v>21563</v>
      </c>
      <c r="U47" s="419">
        <v>32091</v>
      </c>
      <c r="V47" s="431"/>
      <c r="W47" s="419">
        <v>31702</v>
      </c>
      <c r="X47" s="419">
        <v>30885</v>
      </c>
      <c r="Y47" s="419">
        <v>30865</v>
      </c>
      <c r="Z47" s="419">
        <v>28514</v>
      </c>
      <c r="AA47" s="431"/>
      <c r="AB47" s="419">
        <v>28885</v>
      </c>
      <c r="AC47" s="419">
        <v>27927</v>
      </c>
      <c r="AD47" s="419">
        <v>28827</v>
      </c>
      <c r="AE47" s="419">
        <v>44336</v>
      </c>
      <c r="AF47" s="431"/>
      <c r="AG47" s="419">
        <v>43795</v>
      </c>
      <c r="AH47" s="419">
        <v>38484</v>
      </c>
      <c r="AI47" s="419">
        <v>36156</v>
      </c>
      <c r="AJ47" s="419">
        <v>40734</v>
      </c>
      <c r="AL47" s="224"/>
      <c r="AM47" s="224"/>
      <c r="AN47" s="227"/>
    </row>
    <row r="48" spans="1:40" s="1" customFormat="1" ht="15" customHeight="1" collapsed="1" x14ac:dyDescent="0.25">
      <c r="A48" s="83" t="str">
        <f>IF(Contents!$A$1=2,"Other non-current financial assets","Прочие долгосрочные финансовые активы")</f>
        <v>Прочие долгосрочные финансовые активы</v>
      </c>
      <c r="B48" s="248" t="str">
        <f>IF(Contents!$A$1=2,"mln RUB","млн руб.")</f>
        <v>млн руб.</v>
      </c>
      <c r="C48" s="84"/>
      <c r="D48" s="429">
        <v>94037</v>
      </c>
      <c r="E48" s="418"/>
      <c r="F48" s="429">
        <v>102067</v>
      </c>
      <c r="G48" s="418"/>
      <c r="H48" s="429">
        <v>112282</v>
      </c>
      <c r="I48" s="429">
        <v>106424</v>
      </c>
      <c r="J48" s="429">
        <v>112494</v>
      </c>
      <c r="K48" s="429">
        <v>101812</v>
      </c>
      <c r="L48" s="430"/>
      <c r="M48" s="429">
        <v>93858</v>
      </c>
      <c r="N48" s="429">
        <v>92806</v>
      </c>
      <c r="O48" s="429">
        <v>88880</v>
      </c>
      <c r="P48" s="429">
        <v>79717</v>
      </c>
      <c r="Q48" s="430"/>
      <c r="R48" s="429">
        <v>65125</v>
      </c>
      <c r="S48" s="429">
        <v>67494</v>
      </c>
      <c r="T48" s="429">
        <v>64565</v>
      </c>
      <c r="U48" s="429">
        <v>82568</v>
      </c>
      <c r="V48" s="430"/>
      <c r="W48" s="429">
        <v>72531</v>
      </c>
      <c r="X48" s="429">
        <v>64197</v>
      </c>
      <c r="Y48" s="429">
        <v>54947</v>
      </c>
      <c r="Z48" s="429">
        <v>38231</v>
      </c>
      <c r="AA48" s="430"/>
      <c r="AB48" s="429">
        <v>41885</v>
      </c>
      <c r="AC48" s="429">
        <v>37362</v>
      </c>
      <c r="AD48" s="429">
        <v>46763</v>
      </c>
      <c r="AE48" s="429">
        <v>68692</v>
      </c>
      <c r="AF48" s="430"/>
      <c r="AG48" s="429">
        <v>71076</v>
      </c>
      <c r="AH48" s="429">
        <v>70377</v>
      </c>
      <c r="AI48" s="429">
        <v>68002</v>
      </c>
      <c r="AJ48" s="429">
        <v>61738</v>
      </c>
      <c r="AK48" s="206"/>
      <c r="AL48" s="224"/>
      <c r="AM48" s="224"/>
      <c r="AN48" s="227"/>
    </row>
    <row r="49" spans="1:40" s="179" customFormat="1" ht="15" hidden="1" customHeight="1" outlineLevel="1" x14ac:dyDescent="0.25">
      <c r="A49" s="163" t="str">
        <f>IF(Contents!$A$1=2,"Long-term loans","Долгосрочные займы выданные")</f>
        <v>Долгосрочные займы выданные</v>
      </c>
      <c r="B49" s="249" t="str">
        <f>IF(Contents!$A$1=2,"mln RUB","млн руб.")</f>
        <v>млн руб.</v>
      </c>
      <c r="C49" s="180"/>
      <c r="D49" s="419">
        <v>84712</v>
      </c>
      <c r="E49" s="428"/>
      <c r="F49" s="419">
        <v>89770</v>
      </c>
      <c r="G49" s="428"/>
      <c r="H49" s="419">
        <v>99991</v>
      </c>
      <c r="I49" s="419">
        <v>94188</v>
      </c>
      <c r="J49" s="419">
        <v>100409</v>
      </c>
      <c r="K49" s="419">
        <v>86387</v>
      </c>
      <c r="L49" s="431"/>
      <c r="M49" s="419">
        <v>80025</v>
      </c>
      <c r="N49" s="419">
        <v>80392</v>
      </c>
      <c r="O49" s="419">
        <v>75734</v>
      </c>
      <c r="P49" s="419">
        <v>69840</v>
      </c>
      <c r="Q49" s="431"/>
      <c r="R49" s="419">
        <v>55646</v>
      </c>
      <c r="S49" s="419">
        <v>56081</v>
      </c>
      <c r="T49" s="419">
        <v>54100</v>
      </c>
      <c r="U49" s="419">
        <v>76532</v>
      </c>
      <c r="V49" s="431"/>
      <c r="W49" s="419">
        <v>66559</v>
      </c>
      <c r="X49" s="419">
        <v>58992</v>
      </c>
      <c r="Y49" s="419">
        <v>50556</v>
      </c>
      <c r="Z49" s="419">
        <v>34170</v>
      </c>
      <c r="AA49" s="431"/>
      <c r="AB49" s="419">
        <v>39209</v>
      </c>
      <c r="AC49" s="419">
        <v>34459</v>
      </c>
      <c r="AD49" s="419">
        <v>43823</v>
      </c>
      <c r="AE49" s="419">
        <v>64270</v>
      </c>
      <c r="AF49" s="431"/>
      <c r="AG49" s="419">
        <v>64978</v>
      </c>
      <c r="AH49" s="419">
        <v>63251</v>
      </c>
      <c r="AI49" s="419">
        <v>60538</v>
      </c>
      <c r="AJ49" s="419">
        <v>53955</v>
      </c>
      <c r="AL49" s="224"/>
      <c r="AM49" s="224"/>
      <c r="AN49" s="222"/>
    </row>
    <row r="50" spans="1:40" s="179" customFormat="1" ht="15" hidden="1" customHeight="1" outlineLevel="1" x14ac:dyDescent="0.25">
      <c r="A50" s="163" t="str">
        <f>IF(Contents!$A$1=2,"Non-current accounts and notes receivable","Долгосрочная дебиторская задолженность")</f>
        <v>Долгосрочная дебиторская задолженность</v>
      </c>
      <c r="B50" s="249" t="str">
        <f>IF(Contents!$A$1=2,"mln RUB","млн руб.")</f>
        <v>млн руб.</v>
      </c>
      <c r="C50" s="180"/>
      <c r="D50" s="419">
        <v>7185</v>
      </c>
      <c r="E50" s="428"/>
      <c r="F50" s="419">
        <v>8148</v>
      </c>
      <c r="G50" s="428"/>
      <c r="H50" s="419">
        <v>8428</v>
      </c>
      <c r="I50" s="419">
        <v>8326</v>
      </c>
      <c r="J50" s="419">
        <v>8222</v>
      </c>
      <c r="K50" s="419">
        <v>7916</v>
      </c>
      <c r="L50" s="431"/>
      <c r="M50" s="419">
        <v>8054</v>
      </c>
      <c r="N50" s="419">
        <v>7925</v>
      </c>
      <c r="O50" s="419">
        <v>8130</v>
      </c>
      <c r="P50" s="419">
        <v>4680</v>
      </c>
      <c r="Q50" s="431"/>
      <c r="R50" s="419">
        <v>4541</v>
      </c>
      <c r="S50" s="419">
        <v>4909</v>
      </c>
      <c r="T50" s="419">
        <v>4900</v>
      </c>
      <c r="U50" s="419">
        <v>2469</v>
      </c>
      <c r="V50" s="431"/>
      <c r="W50" s="419">
        <v>1571</v>
      </c>
      <c r="X50" s="419">
        <v>1394</v>
      </c>
      <c r="Y50" s="419">
        <v>1373</v>
      </c>
      <c r="Z50" s="419">
        <v>1371</v>
      </c>
      <c r="AA50" s="431"/>
      <c r="AB50" s="419">
        <v>1841</v>
      </c>
      <c r="AC50" s="419">
        <v>1445</v>
      </c>
      <c r="AD50" s="419">
        <v>1276</v>
      </c>
      <c r="AE50" s="419">
        <v>1916</v>
      </c>
      <c r="AF50" s="431"/>
      <c r="AG50" s="419">
        <v>1819</v>
      </c>
      <c r="AH50" s="419">
        <v>1689</v>
      </c>
      <c r="AI50" s="419">
        <v>1808</v>
      </c>
      <c r="AJ50" s="419">
        <v>1624</v>
      </c>
      <c r="AL50" s="224"/>
      <c r="AM50" s="224"/>
      <c r="AN50" s="227"/>
    </row>
    <row r="51" spans="1:40" s="179" customFormat="1" ht="15" hidden="1" customHeight="1" outlineLevel="1" x14ac:dyDescent="0.25">
      <c r="A51" s="163" t="str">
        <f>IF(Contents!$A$1=2,"Other non-current financial assets","Прочие долгосрочные финансовые активы")</f>
        <v>Прочие долгосрочные финансовые активы</v>
      </c>
      <c r="B51" s="249" t="str">
        <f>IF(Contents!$A$1=2,"mln RUB","млн руб.")</f>
        <v>млн руб.</v>
      </c>
      <c r="C51" s="180"/>
      <c r="D51" s="419">
        <v>2140</v>
      </c>
      <c r="E51" s="428"/>
      <c r="F51" s="419">
        <v>4149</v>
      </c>
      <c r="G51" s="428"/>
      <c r="H51" s="419">
        <v>3863</v>
      </c>
      <c r="I51" s="419">
        <v>3910</v>
      </c>
      <c r="J51" s="419">
        <v>3863</v>
      </c>
      <c r="K51" s="419">
        <v>7509</v>
      </c>
      <c r="L51" s="431"/>
      <c r="M51" s="419">
        <v>5779</v>
      </c>
      <c r="N51" s="419">
        <v>4489</v>
      </c>
      <c r="O51" s="419">
        <v>5016</v>
      </c>
      <c r="P51" s="419">
        <v>5197</v>
      </c>
      <c r="Q51" s="431"/>
      <c r="R51" s="419">
        <v>4938</v>
      </c>
      <c r="S51" s="419">
        <v>6504</v>
      </c>
      <c r="T51" s="419">
        <v>5565</v>
      </c>
      <c r="U51" s="419">
        <v>3567</v>
      </c>
      <c r="V51" s="431"/>
      <c r="W51" s="419">
        <v>4401</v>
      </c>
      <c r="X51" s="419">
        <v>3811</v>
      </c>
      <c r="Y51" s="419">
        <v>3018</v>
      </c>
      <c r="Z51" s="419">
        <v>2690</v>
      </c>
      <c r="AA51" s="431"/>
      <c r="AB51" s="419">
        <v>835</v>
      </c>
      <c r="AC51" s="419">
        <v>1458</v>
      </c>
      <c r="AD51" s="419">
        <v>1664</v>
      </c>
      <c r="AE51" s="419">
        <v>2506</v>
      </c>
      <c r="AF51" s="431"/>
      <c r="AG51" s="419">
        <v>4279</v>
      </c>
      <c r="AH51" s="419">
        <v>5437</v>
      </c>
      <c r="AI51" s="419">
        <v>5656</v>
      </c>
      <c r="AJ51" s="419">
        <v>6159</v>
      </c>
      <c r="AL51" s="224"/>
      <c r="AM51" s="224"/>
      <c r="AN51" s="227"/>
    </row>
    <row r="52" spans="1:40" s="1" customFormat="1" ht="15" customHeight="1" x14ac:dyDescent="0.25">
      <c r="A52" s="83" t="str">
        <f>IF(Contents!$A$1=2,"Deferred income tax assets","Активы по отложенному налогу на прибыль")</f>
        <v>Активы по отложенному налогу на прибыль</v>
      </c>
      <c r="B52" s="248" t="str">
        <f>IF(Contents!$A$1=2,"mln RUB","млн руб.")</f>
        <v>млн руб.</v>
      </c>
      <c r="C52" s="84"/>
      <c r="D52" s="429">
        <v>22111</v>
      </c>
      <c r="E52" s="418"/>
      <c r="F52" s="429">
        <v>28735</v>
      </c>
      <c r="G52" s="418"/>
      <c r="H52" s="429">
        <v>27630</v>
      </c>
      <c r="I52" s="429">
        <v>27018</v>
      </c>
      <c r="J52" s="429">
        <v>26995</v>
      </c>
      <c r="K52" s="429">
        <v>29079</v>
      </c>
      <c r="L52" s="430"/>
      <c r="M52" s="429">
        <v>26023</v>
      </c>
      <c r="N52" s="429">
        <v>27842</v>
      </c>
      <c r="O52" s="429">
        <v>28633</v>
      </c>
      <c r="P52" s="429">
        <v>25128</v>
      </c>
      <c r="Q52" s="430"/>
      <c r="R52" s="429">
        <v>26679</v>
      </c>
      <c r="S52" s="429">
        <v>28015</v>
      </c>
      <c r="T52" s="429">
        <v>29562</v>
      </c>
      <c r="U52" s="429">
        <v>31041</v>
      </c>
      <c r="V52" s="430"/>
      <c r="W52" s="429">
        <v>32303</v>
      </c>
      <c r="X52" s="429">
        <v>29667</v>
      </c>
      <c r="Y52" s="429">
        <v>27934</v>
      </c>
      <c r="Z52" s="429">
        <v>28673</v>
      </c>
      <c r="AA52" s="430"/>
      <c r="AB52" s="429">
        <v>21272</v>
      </c>
      <c r="AC52" s="429">
        <v>18325</v>
      </c>
      <c r="AD52" s="429">
        <v>27244</v>
      </c>
      <c r="AE52" s="429">
        <v>16298</v>
      </c>
      <c r="AF52" s="430"/>
      <c r="AG52" s="429">
        <v>22750</v>
      </c>
      <c r="AH52" s="429">
        <v>22294</v>
      </c>
      <c r="AI52" s="429">
        <v>22779</v>
      </c>
      <c r="AJ52" s="429">
        <v>22842</v>
      </c>
      <c r="AK52" s="206"/>
      <c r="AL52" s="224"/>
      <c r="AM52" s="224"/>
      <c r="AN52" s="227"/>
    </row>
    <row r="53" spans="1:40" s="1" customFormat="1" ht="15" customHeight="1" x14ac:dyDescent="0.25">
      <c r="A53" s="83" t="str">
        <f>IF(Contents!$A$1=2,"Goodwill and other intangible assets","Гудвил и прочие нематериальные активы")</f>
        <v>Гудвил и прочие нематериальные активы</v>
      </c>
      <c r="B53" s="248" t="str">
        <f>IF(Contents!$A$1=2,"mln RUB","млн руб.")</f>
        <v>млн руб.</v>
      </c>
      <c r="C53" s="84"/>
      <c r="D53" s="429">
        <v>56386</v>
      </c>
      <c r="E53" s="418"/>
      <c r="F53" s="429">
        <v>51749</v>
      </c>
      <c r="G53" s="418"/>
      <c r="H53" s="429">
        <v>49588</v>
      </c>
      <c r="I53" s="429">
        <v>47416</v>
      </c>
      <c r="J53" s="429">
        <v>46127</v>
      </c>
      <c r="K53" s="429">
        <v>43134</v>
      </c>
      <c r="L53" s="430"/>
      <c r="M53" s="429">
        <v>41110</v>
      </c>
      <c r="N53" s="429">
        <v>42857</v>
      </c>
      <c r="O53" s="429">
        <v>42147</v>
      </c>
      <c r="P53" s="429">
        <v>41304</v>
      </c>
      <c r="Q53" s="430"/>
      <c r="R53" s="429">
        <v>41344</v>
      </c>
      <c r="S53" s="429">
        <v>41355</v>
      </c>
      <c r="T53" s="429">
        <v>39956</v>
      </c>
      <c r="U53" s="429">
        <v>41765</v>
      </c>
      <c r="V53" s="430"/>
      <c r="W53" s="429">
        <v>40311</v>
      </c>
      <c r="X53" s="429">
        <v>39704</v>
      </c>
      <c r="Y53" s="429">
        <v>39682</v>
      </c>
      <c r="Z53" s="429">
        <v>43108</v>
      </c>
      <c r="AA53" s="430"/>
      <c r="AB53" s="429">
        <v>46550</v>
      </c>
      <c r="AC53" s="429">
        <v>45017</v>
      </c>
      <c r="AD53" s="429">
        <v>48795</v>
      </c>
      <c r="AE53" s="429">
        <v>50159</v>
      </c>
      <c r="AF53" s="430"/>
      <c r="AG53" s="429">
        <v>50201</v>
      </c>
      <c r="AH53" s="429">
        <v>50050</v>
      </c>
      <c r="AI53" s="429">
        <v>49794</v>
      </c>
      <c r="AJ53" s="429">
        <v>44342</v>
      </c>
      <c r="AK53" s="206"/>
      <c r="AL53" s="224"/>
      <c r="AM53" s="224"/>
      <c r="AN53" s="222"/>
    </row>
    <row r="54" spans="1:40" s="1" customFormat="1" ht="15" customHeight="1" x14ac:dyDescent="0.25">
      <c r="A54" s="87" t="str">
        <f>IF(Contents!$A$1=2,"Other non-current assets","Прочие внеоборотные активы")</f>
        <v>Прочие внеоборотные активы</v>
      </c>
      <c r="B54" s="250" t="str">
        <f>IF(Contents!$A$1=2,"mln RUB","млн руб.")</f>
        <v>млн руб.</v>
      </c>
      <c r="C54" s="84"/>
      <c r="D54" s="417">
        <v>31209</v>
      </c>
      <c r="E54" s="418"/>
      <c r="F54" s="417">
        <v>31512</v>
      </c>
      <c r="G54" s="418"/>
      <c r="H54" s="417">
        <v>30938</v>
      </c>
      <c r="I54" s="417">
        <v>30853</v>
      </c>
      <c r="J54" s="417">
        <v>32657</v>
      </c>
      <c r="K54" s="417">
        <v>31236</v>
      </c>
      <c r="L54" s="418"/>
      <c r="M54" s="417">
        <v>30650</v>
      </c>
      <c r="N54" s="417">
        <v>32353</v>
      </c>
      <c r="O54" s="417">
        <v>33685</v>
      </c>
      <c r="P54" s="417">
        <v>32501</v>
      </c>
      <c r="Q54" s="418"/>
      <c r="R54" s="417">
        <v>34879</v>
      </c>
      <c r="S54" s="417">
        <v>36547</v>
      </c>
      <c r="T54" s="417">
        <v>38301</v>
      </c>
      <c r="U54" s="417">
        <v>41312</v>
      </c>
      <c r="V54" s="418"/>
      <c r="W54" s="417">
        <v>38862</v>
      </c>
      <c r="X54" s="417">
        <v>42124</v>
      </c>
      <c r="Y54" s="417">
        <v>37050</v>
      </c>
      <c r="Z54" s="417">
        <v>36840</v>
      </c>
      <c r="AA54" s="418"/>
      <c r="AB54" s="417">
        <v>32734</v>
      </c>
      <c r="AC54" s="417">
        <v>31254</v>
      </c>
      <c r="AD54" s="417">
        <v>33589</v>
      </c>
      <c r="AE54" s="417">
        <v>33859</v>
      </c>
      <c r="AF54" s="418"/>
      <c r="AG54" s="417">
        <v>34664</v>
      </c>
      <c r="AH54" s="417">
        <v>36374</v>
      </c>
      <c r="AI54" s="417">
        <v>39891</v>
      </c>
      <c r="AJ54" s="417">
        <v>42008</v>
      </c>
      <c r="AK54" s="206"/>
      <c r="AL54" s="224"/>
      <c r="AM54" s="224"/>
      <c r="AN54" s="222"/>
    </row>
    <row r="55" spans="1:40" s="1" customFormat="1" ht="15" customHeight="1" x14ac:dyDescent="0.25">
      <c r="A55" s="90" t="str">
        <f>IF(Contents!$A$1=2,"Total non-current assets","Итого внеоборотные активы")</f>
        <v>Итого внеоборотные активы</v>
      </c>
      <c r="B55" s="253" t="str">
        <f>IF(Contents!$A$1=2,"mln RUB","млн руб.")</f>
        <v>млн руб.</v>
      </c>
      <c r="C55" s="82"/>
      <c r="D55" s="458">
        <v>3502726</v>
      </c>
      <c r="E55" s="467"/>
      <c r="F55" s="458">
        <v>3806960</v>
      </c>
      <c r="G55" s="467"/>
      <c r="H55" s="458">
        <v>3774192</v>
      </c>
      <c r="I55" s="458">
        <v>3761569</v>
      </c>
      <c r="J55" s="458">
        <v>3798741</v>
      </c>
      <c r="K55" s="458">
        <v>3759032</v>
      </c>
      <c r="L55" s="467"/>
      <c r="M55" s="458">
        <v>3725498</v>
      </c>
      <c r="N55" s="458">
        <v>3833906</v>
      </c>
      <c r="O55" s="458">
        <v>3865527</v>
      </c>
      <c r="P55" s="458">
        <v>3918101</v>
      </c>
      <c r="Q55" s="467"/>
      <c r="R55" s="458">
        <v>3924795</v>
      </c>
      <c r="S55" s="458">
        <v>4026539</v>
      </c>
      <c r="T55" s="458">
        <v>4094950</v>
      </c>
      <c r="U55" s="458">
        <v>4253903</v>
      </c>
      <c r="V55" s="467"/>
      <c r="W55" s="458">
        <v>4325128</v>
      </c>
      <c r="X55" s="458">
        <v>4311961</v>
      </c>
      <c r="Y55" s="458">
        <v>4363384</v>
      </c>
      <c r="Z55" s="458">
        <v>4392863</v>
      </c>
      <c r="AA55" s="467"/>
      <c r="AB55" s="458">
        <v>4675632</v>
      </c>
      <c r="AC55" s="458">
        <v>4527356</v>
      </c>
      <c r="AD55" s="458">
        <v>4752969</v>
      </c>
      <c r="AE55" s="458">
        <v>4715119</v>
      </c>
      <c r="AF55" s="467"/>
      <c r="AG55" s="458">
        <v>4726919</v>
      </c>
      <c r="AH55" s="458">
        <v>4670351</v>
      </c>
      <c r="AI55" s="458">
        <v>4649801</v>
      </c>
      <c r="AJ55" s="458">
        <v>4715592</v>
      </c>
      <c r="AK55" s="206"/>
      <c r="AL55" s="224"/>
      <c r="AM55" s="224"/>
      <c r="AN55" s="222"/>
    </row>
    <row r="56" spans="1:40" s="1" customFormat="1" ht="15" customHeight="1" x14ac:dyDescent="0.25">
      <c r="A56" s="114" t="str">
        <f>IF(Contents!$A$1=2,"Total assets","Итого активы")</f>
        <v>Итого активы</v>
      </c>
      <c r="B56" s="254" t="str">
        <f>IF(Contents!$A$1=2,"mln RUB","млн руб.")</f>
        <v>млн руб.</v>
      </c>
      <c r="C56" s="79"/>
      <c r="D56" s="459">
        <v>4738953</v>
      </c>
      <c r="E56" s="467"/>
      <c r="F56" s="459">
        <v>5020607</v>
      </c>
      <c r="G56" s="467"/>
      <c r="H56" s="459">
        <v>4982254</v>
      </c>
      <c r="I56" s="459">
        <v>5046471</v>
      </c>
      <c r="J56" s="459">
        <v>4972564</v>
      </c>
      <c r="K56" s="459">
        <v>5014673</v>
      </c>
      <c r="L56" s="467"/>
      <c r="M56" s="459">
        <v>4813959</v>
      </c>
      <c r="N56" s="459">
        <v>4960480</v>
      </c>
      <c r="O56" s="459">
        <v>5031753</v>
      </c>
      <c r="P56" s="459">
        <v>5226215</v>
      </c>
      <c r="Q56" s="467"/>
      <c r="R56" s="459">
        <v>5205186</v>
      </c>
      <c r="S56" s="459">
        <v>5492067</v>
      </c>
      <c r="T56" s="459">
        <v>5713550</v>
      </c>
      <c r="U56" s="459">
        <v>5732382</v>
      </c>
      <c r="V56" s="467"/>
      <c r="W56" s="459">
        <v>5823274</v>
      </c>
      <c r="X56" s="459">
        <v>5898378</v>
      </c>
      <c r="Y56" s="459">
        <v>5848001</v>
      </c>
      <c r="Z56" s="459">
        <v>5947050</v>
      </c>
      <c r="AA56" s="467"/>
      <c r="AB56" s="459">
        <v>6127796</v>
      </c>
      <c r="AC56" s="459">
        <v>6002486</v>
      </c>
      <c r="AD56" s="459">
        <v>6195855</v>
      </c>
      <c r="AE56" s="459">
        <v>5991579</v>
      </c>
      <c r="AF56" s="467"/>
      <c r="AG56" s="459">
        <v>6378319</v>
      </c>
      <c r="AH56" s="459">
        <v>6508931</v>
      </c>
      <c r="AI56" s="459">
        <v>6634357</v>
      </c>
      <c r="AJ56" s="459">
        <v>6864749</v>
      </c>
      <c r="AK56" s="206"/>
      <c r="AL56" s="224"/>
      <c r="AM56" s="224"/>
      <c r="AN56" s="222"/>
    </row>
    <row r="57" spans="1:40" s="1" customFormat="1" ht="15" customHeight="1" x14ac:dyDescent="0.25">
      <c r="A57" s="78" t="str">
        <f>IF(Contents!$A$1=2,"Liabilities and equity","Обязательства и капитал")</f>
        <v>Обязательства и капитал</v>
      </c>
      <c r="B57" s="248" t="str">
        <f>IF(Contents!$A$1=2,"mln RUB","млн руб.")</f>
        <v>млн руб.</v>
      </c>
      <c r="C57" s="79"/>
      <c r="D57" s="429"/>
      <c r="E57" s="418"/>
      <c r="F57" s="429"/>
      <c r="G57" s="418"/>
      <c r="H57" s="429"/>
      <c r="I57" s="429"/>
      <c r="J57" s="429"/>
      <c r="K57" s="429"/>
      <c r="L57" s="430"/>
      <c r="M57" s="429"/>
      <c r="N57" s="429"/>
      <c r="O57" s="429"/>
      <c r="P57" s="429"/>
      <c r="Q57" s="430"/>
      <c r="R57" s="429"/>
      <c r="S57" s="429"/>
      <c r="T57" s="429"/>
      <c r="U57" s="429"/>
      <c r="V57" s="430"/>
      <c r="W57" s="429"/>
      <c r="X57" s="429"/>
      <c r="Y57" s="429"/>
      <c r="Z57" s="429"/>
      <c r="AA57" s="430"/>
      <c r="AB57" s="429"/>
      <c r="AC57" s="429"/>
      <c r="AD57" s="429"/>
      <c r="AE57" s="429"/>
      <c r="AF57" s="430"/>
      <c r="AG57" s="429"/>
      <c r="AH57" s="429"/>
      <c r="AI57" s="429"/>
      <c r="AJ57" s="429"/>
      <c r="AK57" s="206"/>
      <c r="AL57" s="224"/>
      <c r="AM57" s="224"/>
      <c r="AN57" s="222"/>
    </row>
    <row r="58" spans="1:40" s="1" customFormat="1" ht="15" customHeight="1" x14ac:dyDescent="0.25">
      <c r="A58" s="81" t="str">
        <f>IF(Contents!$A$1=2,"Current liabilities","Краткосрочные обязательства ")</f>
        <v xml:space="preserve">Краткосрочные обязательства </v>
      </c>
      <c r="B58" s="248" t="str">
        <f>IF(Contents!$A$1=2,"mln RUB","млн руб.")</f>
        <v>млн руб.</v>
      </c>
      <c r="C58" s="82"/>
      <c r="D58" s="429"/>
      <c r="E58" s="418"/>
      <c r="F58" s="429"/>
      <c r="G58" s="418"/>
      <c r="H58" s="429"/>
      <c r="I58" s="429"/>
      <c r="J58" s="429"/>
      <c r="K58" s="429"/>
      <c r="L58" s="430"/>
      <c r="M58" s="429"/>
      <c r="N58" s="429"/>
      <c r="O58" s="429"/>
      <c r="P58" s="429"/>
      <c r="Q58" s="430"/>
      <c r="R58" s="429"/>
      <c r="S58" s="429"/>
      <c r="T58" s="429"/>
      <c r="U58" s="429"/>
      <c r="V58" s="430"/>
      <c r="W58" s="429"/>
      <c r="X58" s="429"/>
      <c r="Y58" s="429"/>
      <c r="Z58" s="429"/>
      <c r="AA58" s="430"/>
      <c r="AB58" s="429"/>
      <c r="AC58" s="429"/>
      <c r="AD58" s="429"/>
      <c r="AE58" s="429"/>
      <c r="AF58" s="430"/>
      <c r="AG58" s="429"/>
      <c r="AH58" s="429"/>
      <c r="AI58" s="429"/>
      <c r="AJ58" s="429"/>
      <c r="AK58" s="206"/>
      <c r="AL58" s="224"/>
      <c r="AM58" s="224"/>
      <c r="AN58" s="222"/>
    </row>
    <row r="59" spans="1:40" s="1" customFormat="1" ht="15" customHeight="1" collapsed="1" x14ac:dyDescent="0.25">
      <c r="A59" s="83" t="str">
        <f>IF(Contents!$A$1=2,"Accounts payable","Кредиторская задолженность")</f>
        <v>Кредиторская задолженность</v>
      </c>
      <c r="B59" s="248" t="str">
        <f>IF(Contents!$A$1=2,"mln RUB","млн руб.")</f>
        <v>млн руб.</v>
      </c>
      <c r="C59" s="84"/>
      <c r="D59" s="429">
        <v>398996</v>
      </c>
      <c r="E59" s="418"/>
      <c r="F59" s="429">
        <v>394339</v>
      </c>
      <c r="G59" s="418"/>
      <c r="H59" s="429">
        <v>352557</v>
      </c>
      <c r="I59" s="429">
        <v>424715</v>
      </c>
      <c r="J59" s="429">
        <v>404374</v>
      </c>
      <c r="K59" s="429">
        <v>550247</v>
      </c>
      <c r="L59" s="430"/>
      <c r="M59" s="429">
        <v>402853</v>
      </c>
      <c r="N59" s="429">
        <v>401825</v>
      </c>
      <c r="O59" s="429">
        <v>474012</v>
      </c>
      <c r="P59" s="429">
        <v>559977</v>
      </c>
      <c r="Q59" s="430"/>
      <c r="R59" s="429">
        <v>507063</v>
      </c>
      <c r="S59" s="429">
        <v>595156</v>
      </c>
      <c r="T59" s="429">
        <v>645279</v>
      </c>
      <c r="U59" s="429">
        <v>547128</v>
      </c>
      <c r="V59" s="430"/>
      <c r="W59" s="429">
        <v>589928</v>
      </c>
      <c r="X59" s="429">
        <v>580251</v>
      </c>
      <c r="Y59" s="429">
        <v>555005</v>
      </c>
      <c r="Z59" s="429">
        <v>607734</v>
      </c>
      <c r="AA59" s="430"/>
      <c r="AB59" s="429">
        <v>517335</v>
      </c>
      <c r="AC59" s="429">
        <v>448925</v>
      </c>
      <c r="AD59" s="429">
        <v>572236</v>
      </c>
      <c r="AE59" s="429">
        <v>597932</v>
      </c>
      <c r="AF59" s="430"/>
      <c r="AG59" s="429">
        <v>701840</v>
      </c>
      <c r="AH59" s="429">
        <v>701126</v>
      </c>
      <c r="AI59" s="429">
        <v>728472</v>
      </c>
      <c r="AJ59" s="429">
        <v>786463</v>
      </c>
      <c r="AK59" s="206"/>
      <c r="AL59" s="224"/>
      <c r="AM59" s="224"/>
      <c r="AN59" s="222"/>
    </row>
    <row r="60" spans="1:40" s="179" customFormat="1" ht="15" hidden="1" customHeight="1" outlineLevel="1" x14ac:dyDescent="0.25">
      <c r="A60" s="163" t="str">
        <f>IF(Contents!$A$1=2,"Trade accounts payable","Торговая кредиторская задолженность")</f>
        <v>Торговая кредиторская задолженность</v>
      </c>
      <c r="B60" s="249" t="str">
        <f>IF(Contents!$A$1=2,"mln RUB","млн руб.")</f>
        <v>млн руб.</v>
      </c>
      <c r="C60" s="180"/>
      <c r="D60" s="419">
        <v>361164</v>
      </c>
      <c r="E60" s="428"/>
      <c r="F60" s="419">
        <v>339091</v>
      </c>
      <c r="G60" s="428"/>
      <c r="H60" s="419">
        <v>292686</v>
      </c>
      <c r="I60" s="419">
        <v>374177</v>
      </c>
      <c r="J60" s="419">
        <v>357211</v>
      </c>
      <c r="K60" s="419">
        <v>478673</v>
      </c>
      <c r="L60" s="431"/>
      <c r="M60" s="419">
        <v>358937</v>
      </c>
      <c r="N60" s="419">
        <v>363629</v>
      </c>
      <c r="O60" s="419">
        <v>400455</v>
      </c>
      <c r="P60" s="419">
        <v>508078</v>
      </c>
      <c r="Q60" s="431"/>
      <c r="R60" s="419">
        <v>443749</v>
      </c>
      <c r="S60" s="419">
        <v>544374</v>
      </c>
      <c r="T60" s="419">
        <v>575311</v>
      </c>
      <c r="U60" s="419">
        <v>477444</v>
      </c>
      <c r="V60" s="431"/>
      <c r="W60" s="419">
        <v>526700</v>
      </c>
      <c r="X60" s="419">
        <v>532720</v>
      </c>
      <c r="Y60" s="419">
        <v>489349</v>
      </c>
      <c r="Z60" s="419">
        <v>555823</v>
      </c>
      <c r="AA60" s="431"/>
      <c r="AB60" s="419">
        <v>451611</v>
      </c>
      <c r="AC60" s="419">
        <v>398559</v>
      </c>
      <c r="AD60" s="419">
        <v>508662</v>
      </c>
      <c r="AE60" s="419">
        <v>533598</v>
      </c>
      <c r="AF60" s="431"/>
      <c r="AG60" s="419">
        <v>621027</v>
      </c>
      <c r="AH60" s="419">
        <v>633322</v>
      </c>
      <c r="AI60" s="419">
        <v>650883</v>
      </c>
      <c r="AJ60" s="419">
        <v>701864</v>
      </c>
      <c r="AL60" s="224"/>
      <c r="AM60" s="224"/>
      <c r="AN60" s="222"/>
    </row>
    <row r="61" spans="1:40" s="179" customFormat="1" ht="15" hidden="1" customHeight="1" outlineLevel="1" x14ac:dyDescent="0.25">
      <c r="A61" s="163" t="str">
        <f>IF(Contents!$A$1=2,"Other accounts payable","Прочая кредиторская задолженность")</f>
        <v>Прочая кредиторская задолженность</v>
      </c>
      <c r="B61" s="249" t="str">
        <f>IF(Contents!$A$1=2,"mln RUB","млн руб.")</f>
        <v>млн руб.</v>
      </c>
      <c r="C61" s="180"/>
      <c r="D61" s="419">
        <v>37832</v>
      </c>
      <c r="E61" s="428"/>
      <c r="F61" s="419">
        <v>55248</v>
      </c>
      <c r="G61" s="428"/>
      <c r="H61" s="419">
        <v>59871</v>
      </c>
      <c r="I61" s="419">
        <v>50538</v>
      </c>
      <c r="J61" s="419">
        <v>47163</v>
      </c>
      <c r="K61" s="419">
        <v>71574</v>
      </c>
      <c r="L61" s="431"/>
      <c r="M61" s="419">
        <v>43916</v>
      </c>
      <c r="N61" s="419">
        <v>38196</v>
      </c>
      <c r="O61" s="419">
        <v>73557</v>
      </c>
      <c r="P61" s="419">
        <v>51899</v>
      </c>
      <c r="Q61" s="431"/>
      <c r="R61" s="419">
        <v>63314</v>
      </c>
      <c r="S61" s="419">
        <v>50782</v>
      </c>
      <c r="T61" s="419">
        <v>69968</v>
      </c>
      <c r="U61" s="419">
        <v>69684</v>
      </c>
      <c r="V61" s="431"/>
      <c r="W61" s="419">
        <v>63228</v>
      </c>
      <c r="X61" s="419">
        <v>47531</v>
      </c>
      <c r="Y61" s="419">
        <v>65656</v>
      </c>
      <c r="Z61" s="419">
        <v>51911</v>
      </c>
      <c r="AA61" s="431"/>
      <c r="AB61" s="419">
        <v>65724</v>
      </c>
      <c r="AC61" s="419">
        <v>50366</v>
      </c>
      <c r="AD61" s="419">
        <v>63574</v>
      </c>
      <c r="AE61" s="419">
        <v>64334</v>
      </c>
      <c r="AF61" s="431"/>
      <c r="AG61" s="419">
        <v>80813</v>
      </c>
      <c r="AH61" s="419">
        <v>67804</v>
      </c>
      <c r="AI61" s="419">
        <v>77589</v>
      </c>
      <c r="AJ61" s="419">
        <v>84599</v>
      </c>
      <c r="AL61" s="224"/>
      <c r="AM61" s="224"/>
      <c r="AN61" s="227"/>
    </row>
    <row r="62" spans="1:40" s="1" customFormat="1" ht="15" customHeight="1" collapsed="1" x14ac:dyDescent="0.25">
      <c r="A62" s="87" t="str">
        <f>IF(Contents!$A$1=2,"Short-term borrowings and current portion of long-term debt","Краткосрочные кредиты и займы и текущая часть долгосрочной задолженности")</f>
        <v>Краткосрочные кредиты и займы и текущая часть долгосрочной задолженности</v>
      </c>
      <c r="B62" s="250" t="str">
        <f>IF(Contents!$A$1=2,"mln RUB","млн руб.")</f>
        <v>млн руб.</v>
      </c>
      <c r="C62" s="84"/>
      <c r="D62" s="417">
        <v>121271</v>
      </c>
      <c r="E62" s="418"/>
      <c r="F62" s="417">
        <v>60506</v>
      </c>
      <c r="G62" s="418"/>
      <c r="H62" s="417">
        <v>96420</v>
      </c>
      <c r="I62" s="417">
        <v>132097</v>
      </c>
      <c r="J62" s="417">
        <v>125107</v>
      </c>
      <c r="K62" s="417">
        <v>58429</v>
      </c>
      <c r="L62" s="418"/>
      <c r="M62" s="417">
        <v>60850</v>
      </c>
      <c r="N62" s="417">
        <v>116184</v>
      </c>
      <c r="O62" s="417">
        <v>116026</v>
      </c>
      <c r="P62" s="417">
        <v>128713</v>
      </c>
      <c r="Q62" s="418"/>
      <c r="R62" s="417">
        <v>128150</v>
      </c>
      <c r="S62" s="417">
        <v>56297</v>
      </c>
      <c r="T62" s="417">
        <v>51892</v>
      </c>
      <c r="U62" s="417">
        <v>99625</v>
      </c>
      <c r="V62" s="418"/>
      <c r="W62" s="417">
        <v>111021</v>
      </c>
      <c r="X62" s="417">
        <v>113332</v>
      </c>
      <c r="Y62" s="417">
        <v>112916</v>
      </c>
      <c r="Z62" s="417">
        <v>130300</v>
      </c>
      <c r="AA62" s="418"/>
      <c r="AB62" s="417">
        <v>172469</v>
      </c>
      <c r="AC62" s="417">
        <v>235252</v>
      </c>
      <c r="AD62" s="417">
        <v>174551</v>
      </c>
      <c r="AE62" s="417">
        <v>82636</v>
      </c>
      <c r="AF62" s="418"/>
      <c r="AG62" s="417">
        <v>77027</v>
      </c>
      <c r="AH62" s="417">
        <v>112868</v>
      </c>
      <c r="AI62" s="417">
        <v>96664</v>
      </c>
      <c r="AJ62" s="417">
        <v>80251</v>
      </c>
      <c r="AK62" s="139"/>
      <c r="AL62" s="224"/>
      <c r="AM62" s="224"/>
      <c r="AN62" s="227"/>
    </row>
    <row r="63" spans="1:40" s="162" customFormat="1" ht="15" hidden="1" customHeight="1" outlineLevel="1" x14ac:dyDescent="0.25">
      <c r="A63" s="165" t="str">
        <f>IF(Contents!$A$1=2,"Short-term borrowings from third parties","Краткосрочные кредиты и займы от сторонних организаций")</f>
        <v>Краткосрочные кредиты и займы от сторонних организаций</v>
      </c>
      <c r="B63" s="255" t="str">
        <f>IF(Contents!$A$1=2,"mln RUB","млн руб.")</f>
        <v>млн руб.</v>
      </c>
      <c r="C63" s="164"/>
      <c r="D63" s="427">
        <v>18226</v>
      </c>
      <c r="E63" s="427"/>
      <c r="F63" s="427">
        <v>33611</v>
      </c>
      <c r="G63" s="427"/>
      <c r="H63" s="427">
        <v>57241</v>
      </c>
      <c r="I63" s="427">
        <v>60096</v>
      </c>
      <c r="J63" s="427">
        <v>47004</v>
      </c>
      <c r="K63" s="427">
        <v>14305</v>
      </c>
      <c r="L63" s="428"/>
      <c r="M63" s="427">
        <v>19779</v>
      </c>
      <c r="N63" s="427">
        <v>11190</v>
      </c>
      <c r="O63" s="427">
        <v>10556</v>
      </c>
      <c r="P63" s="427">
        <v>15499</v>
      </c>
      <c r="Q63" s="428"/>
      <c r="R63" s="427">
        <v>12713</v>
      </c>
      <c r="S63" s="427">
        <v>36362</v>
      </c>
      <c r="T63" s="427">
        <v>24336</v>
      </c>
      <c r="U63" s="427">
        <v>20885</v>
      </c>
      <c r="V63" s="428"/>
      <c r="W63" s="427">
        <v>12561</v>
      </c>
      <c r="X63" s="427">
        <v>15402</v>
      </c>
      <c r="Y63" s="427">
        <v>17194</v>
      </c>
      <c r="Z63" s="427">
        <v>13940</v>
      </c>
      <c r="AA63" s="428"/>
      <c r="AB63" s="427">
        <v>22608</v>
      </c>
      <c r="AC63" s="427">
        <v>95482</v>
      </c>
      <c r="AD63" s="427">
        <v>23240</v>
      </c>
      <c r="AE63" s="427">
        <v>18736</v>
      </c>
      <c r="AF63" s="428"/>
      <c r="AG63" s="427">
        <v>21488</v>
      </c>
      <c r="AH63" s="427">
        <v>26544</v>
      </c>
      <c r="AI63" s="427">
        <v>14325</v>
      </c>
      <c r="AJ63" s="427">
        <v>7993</v>
      </c>
      <c r="AL63" s="224"/>
      <c r="AM63" s="224"/>
      <c r="AN63" s="222"/>
    </row>
    <row r="64" spans="1:40" s="162" customFormat="1" ht="15" hidden="1" customHeight="1" outlineLevel="1" x14ac:dyDescent="0.25">
      <c r="A64" s="165" t="str">
        <f>IF(Contents!$A$1=2,"Short-term borrowings from related parties","Краткосрочные кредиты и займы от связанных сторон")</f>
        <v>Краткосрочные кредиты и займы от связанных сторон</v>
      </c>
      <c r="B64" s="255" t="str">
        <f>IF(Contents!$A$1=2,"mln RUB","млн руб.")</f>
        <v>млн руб.</v>
      </c>
      <c r="C64" s="164"/>
      <c r="D64" s="427">
        <v>4730</v>
      </c>
      <c r="E64" s="427"/>
      <c r="F64" s="427">
        <v>5609</v>
      </c>
      <c r="G64" s="427"/>
      <c r="H64" s="427">
        <v>5439</v>
      </c>
      <c r="I64" s="427">
        <v>5063</v>
      </c>
      <c r="J64" s="427">
        <v>5126</v>
      </c>
      <c r="K64" s="427">
        <v>3743</v>
      </c>
      <c r="L64" s="428"/>
      <c r="M64" s="427">
        <v>3470</v>
      </c>
      <c r="N64" s="427">
        <v>3898</v>
      </c>
      <c r="O64" s="427">
        <v>3547</v>
      </c>
      <c r="P64" s="427">
        <v>3170</v>
      </c>
      <c r="Q64" s="428"/>
      <c r="R64" s="427">
        <v>3019</v>
      </c>
      <c r="S64" s="427">
        <v>3139</v>
      </c>
      <c r="T64" s="427">
        <v>2736</v>
      </c>
      <c r="U64" s="427">
        <v>7843</v>
      </c>
      <c r="V64" s="428"/>
      <c r="W64" s="427">
        <v>2815</v>
      </c>
      <c r="X64" s="427">
        <v>2716</v>
      </c>
      <c r="Y64" s="427">
        <v>2015</v>
      </c>
      <c r="Z64" s="427">
        <v>2222</v>
      </c>
      <c r="AA64" s="428"/>
      <c r="AB64" s="427">
        <v>2283</v>
      </c>
      <c r="AC64" s="427">
        <v>1438</v>
      </c>
      <c r="AD64" s="427">
        <v>2118</v>
      </c>
      <c r="AE64" s="427">
        <v>2522</v>
      </c>
      <c r="AF64" s="428"/>
      <c r="AG64" s="427">
        <v>2463</v>
      </c>
      <c r="AH64" s="427">
        <v>1161</v>
      </c>
      <c r="AI64" s="427">
        <v>1617</v>
      </c>
      <c r="AJ64" s="427">
        <v>899</v>
      </c>
      <c r="AL64" s="224"/>
      <c r="AM64" s="224"/>
      <c r="AN64" s="225"/>
    </row>
    <row r="65" spans="1:40" s="162" customFormat="1" ht="15" hidden="1" customHeight="1" outlineLevel="1" x14ac:dyDescent="0.25">
      <c r="A65" s="165" t="str">
        <f>IF(Contents!$A$1=2,"Current portion of long-term debt","Текущая часть долгосрочной задолженности")</f>
        <v>Текущая часть долгосрочной задолженности</v>
      </c>
      <c r="B65" s="255" t="str">
        <f>IF(Contents!$A$1=2,"mln RUB","млн руб.")</f>
        <v>млн руб.</v>
      </c>
      <c r="C65" s="164"/>
      <c r="D65" s="427">
        <v>98315</v>
      </c>
      <c r="E65" s="427"/>
      <c r="F65" s="427">
        <v>21286</v>
      </c>
      <c r="G65" s="427"/>
      <c r="H65" s="427">
        <v>33740</v>
      </c>
      <c r="I65" s="427">
        <v>66938</v>
      </c>
      <c r="J65" s="427">
        <v>72977</v>
      </c>
      <c r="K65" s="427">
        <v>40381</v>
      </c>
      <c r="L65" s="428"/>
      <c r="M65" s="427">
        <v>37601</v>
      </c>
      <c r="N65" s="427">
        <v>101096</v>
      </c>
      <c r="O65" s="427">
        <v>101923</v>
      </c>
      <c r="P65" s="427">
        <v>110044</v>
      </c>
      <c r="Q65" s="428"/>
      <c r="R65" s="427">
        <v>112418</v>
      </c>
      <c r="S65" s="427">
        <v>16796</v>
      </c>
      <c r="T65" s="427">
        <v>24820</v>
      </c>
      <c r="U65" s="427">
        <v>70897</v>
      </c>
      <c r="V65" s="428"/>
      <c r="W65" s="427">
        <v>95645</v>
      </c>
      <c r="X65" s="427">
        <v>95214</v>
      </c>
      <c r="Y65" s="427">
        <v>93707</v>
      </c>
      <c r="Z65" s="427">
        <v>114138</v>
      </c>
      <c r="AA65" s="428"/>
      <c r="AB65" s="427">
        <v>147578</v>
      </c>
      <c r="AC65" s="427">
        <v>138332</v>
      </c>
      <c r="AD65" s="427">
        <v>149193</v>
      </c>
      <c r="AE65" s="427">
        <v>61378</v>
      </c>
      <c r="AF65" s="428"/>
      <c r="AG65" s="427">
        <v>53076</v>
      </c>
      <c r="AH65" s="427">
        <v>85163</v>
      </c>
      <c r="AI65" s="427">
        <v>80722</v>
      </c>
      <c r="AJ65" s="427">
        <v>71359</v>
      </c>
      <c r="AL65" s="224"/>
      <c r="AM65" s="224"/>
      <c r="AN65" s="225"/>
    </row>
    <row r="66" spans="1:40" s="1" customFormat="1" ht="15" customHeight="1" collapsed="1" x14ac:dyDescent="0.25">
      <c r="A66" s="347" t="str">
        <f>IF(Contents!$A$1=2,"Taxes payable","Обязательства по налогам")</f>
        <v>Обязательства по налогам</v>
      </c>
      <c r="B66" s="248" t="str">
        <f>IF(Contents!$A$1=2,"mln RUB","млн руб.")</f>
        <v>млн руб.</v>
      </c>
      <c r="C66" s="84"/>
      <c r="D66" s="429">
        <v>83074</v>
      </c>
      <c r="E66" s="418"/>
      <c r="F66" s="429">
        <v>84917</v>
      </c>
      <c r="G66" s="418"/>
      <c r="H66" s="429">
        <v>89856</v>
      </c>
      <c r="I66" s="429">
        <v>100535</v>
      </c>
      <c r="J66" s="429">
        <v>97351</v>
      </c>
      <c r="K66" s="429">
        <v>94955</v>
      </c>
      <c r="L66" s="430"/>
      <c r="M66" s="429">
        <v>101545</v>
      </c>
      <c r="N66" s="429">
        <v>94955</v>
      </c>
      <c r="O66" s="429">
        <v>108108</v>
      </c>
      <c r="P66" s="429">
        <v>118484</v>
      </c>
      <c r="Q66" s="430"/>
      <c r="R66" s="429">
        <v>122599</v>
      </c>
      <c r="S66" s="429">
        <v>147746</v>
      </c>
      <c r="T66" s="429">
        <v>169253</v>
      </c>
      <c r="U66" s="429">
        <v>123974</v>
      </c>
      <c r="V66" s="430"/>
      <c r="W66" s="429">
        <v>160787</v>
      </c>
      <c r="X66" s="429">
        <v>153892</v>
      </c>
      <c r="Y66" s="429">
        <v>144477</v>
      </c>
      <c r="Z66" s="429">
        <v>142471</v>
      </c>
      <c r="AA66" s="430"/>
      <c r="AB66" s="429">
        <v>120201</v>
      </c>
      <c r="AC66" s="429">
        <v>103555</v>
      </c>
      <c r="AD66" s="429">
        <v>133913</v>
      </c>
      <c r="AE66" s="429">
        <v>142458</v>
      </c>
      <c r="AF66" s="430"/>
      <c r="AG66" s="429">
        <v>229628</v>
      </c>
      <c r="AH66" s="429">
        <v>252923</v>
      </c>
      <c r="AI66" s="429">
        <v>281505</v>
      </c>
      <c r="AJ66" s="429">
        <v>282191</v>
      </c>
      <c r="AK66" s="206"/>
      <c r="AL66" s="224"/>
      <c r="AM66" s="224"/>
      <c r="AN66" s="222"/>
    </row>
    <row r="67" spans="1:40" s="179" customFormat="1" ht="15" hidden="1" customHeight="1" outlineLevel="1" x14ac:dyDescent="0.25">
      <c r="A67" s="163" t="str">
        <f>IF(Contents!$A$1=2,"Income tax","Налог на прибыль")</f>
        <v>Налог на прибыль</v>
      </c>
      <c r="B67" s="249" t="str">
        <f>IF(Contents!$A$1=2,"mln RUB","млн руб.")</f>
        <v>млн руб.</v>
      </c>
      <c r="C67" s="180"/>
      <c r="D67" s="419">
        <v>7486</v>
      </c>
      <c r="E67" s="428"/>
      <c r="F67" s="419">
        <v>11640</v>
      </c>
      <c r="G67" s="428"/>
      <c r="H67" s="419">
        <v>9595</v>
      </c>
      <c r="I67" s="419">
        <v>6990</v>
      </c>
      <c r="J67" s="419">
        <v>10724</v>
      </c>
      <c r="K67" s="419">
        <v>6591</v>
      </c>
      <c r="L67" s="431"/>
      <c r="M67" s="419">
        <v>10634</v>
      </c>
      <c r="N67" s="419">
        <v>7380</v>
      </c>
      <c r="O67" s="419">
        <v>9647</v>
      </c>
      <c r="P67" s="419">
        <v>8963</v>
      </c>
      <c r="Q67" s="431"/>
      <c r="R67" s="419">
        <v>8536</v>
      </c>
      <c r="S67" s="419">
        <v>9168</v>
      </c>
      <c r="T67" s="419">
        <v>14951</v>
      </c>
      <c r="U67" s="419">
        <v>11316</v>
      </c>
      <c r="V67" s="431"/>
      <c r="W67" s="419">
        <v>14284</v>
      </c>
      <c r="X67" s="419">
        <v>12654</v>
      </c>
      <c r="Y67" s="419">
        <v>13807</v>
      </c>
      <c r="Z67" s="419">
        <v>12031</v>
      </c>
      <c r="AA67" s="431"/>
      <c r="AB67" s="419">
        <v>12174</v>
      </c>
      <c r="AC67" s="419">
        <v>12764</v>
      </c>
      <c r="AD67" s="419">
        <v>16859</v>
      </c>
      <c r="AE67" s="419">
        <v>16614</v>
      </c>
      <c r="AF67" s="431"/>
      <c r="AG67" s="419">
        <v>20168</v>
      </c>
      <c r="AH67" s="419">
        <v>19492</v>
      </c>
      <c r="AI67" s="419">
        <v>22593</v>
      </c>
      <c r="AJ67" s="419">
        <v>16920</v>
      </c>
      <c r="AL67" s="224"/>
      <c r="AM67" s="224"/>
      <c r="AN67" s="222"/>
    </row>
    <row r="68" spans="1:40" s="179" customFormat="1" ht="15" hidden="1" customHeight="1" outlineLevel="1" x14ac:dyDescent="0.25">
      <c r="A68" s="163" t="str">
        <f>IF(Contents!$A$1=2,"Mineral extraction tax","Налог на добычу полезных ископаемых")</f>
        <v>Налог на добычу полезных ископаемых</v>
      </c>
      <c r="B68" s="249" t="str">
        <f>IF(Contents!$A$1=2,"mln RUB","млн руб.")</f>
        <v>млн руб.</v>
      </c>
      <c r="C68" s="180"/>
      <c r="D68" s="419">
        <v>29221</v>
      </c>
      <c r="E68" s="428"/>
      <c r="F68" s="419">
        <v>24566</v>
      </c>
      <c r="G68" s="428"/>
      <c r="H68" s="419">
        <v>28212</v>
      </c>
      <c r="I68" s="419">
        <v>37069</v>
      </c>
      <c r="J68" s="419">
        <v>30470</v>
      </c>
      <c r="K68" s="419">
        <v>37583</v>
      </c>
      <c r="L68" s="431"/>
      <c r="M68" s="419">
        <v>38592</v>
      </c>
      <c r="N68" s="419">
        <v>34800</v>
      </c>
      <c r="O68" s="419">
        <v>40470</v>
      </c>
      <c r="P68" s="419">
        <v>47175</v>
      </c>
      <c r="Q68" s="431"/>
      <c r="R68" s="419">
        <v>45962</v>
      </c>
      <c r="S68" s="419">
        <v>59747</v>
      </c>
      <c r="T68" s="419">
        <v>73355</v>
      </c>
      <c r="U68" s="419">
        <v>46532</v>
      </c>
      <c r="V68" s="431"/>
      <c r="W68" s="419">
        <v>66870</v>
      </c>
      <c r="X68" s="419">
        <v>62977</v>
      </c>
      <c r="Y68" s="419">
        <v>59445</v>
      </c>
      <c r="Z68" s="419">
        <v>61464</v>
      </c>
      <c r="AA68" s="431"/>
      <c r="AB68" s="419">
        <v>33835</v>
      </c>
      <c r="AC68" s="419">
        <v>28611</v>
      </c>
      <c r="AD68" s="419">
        <v>38290</v>
      </c>
      <c r="AE68" s="419">
        <v>49332</v>
      </c>
      <c r="AF68" s="431"/>
      <c r="AG68" s="419">
        <v>82084</v>
      </c>
      <c r="AH68" s="419">
        <v>89769</v>
      </c>
      <c r="AI68" s="419">
        <v>96787</v>
      </c>
      <c r="AJ68" s="419">
        <v>101767</v>
      </c>
      <c r="AL68" s="224"/>
      <c r="AM68" s="224"/>
      <c r="AN68" s="222"/>
    </row>
    <row r="69" spans="1:40" s="179" customFormat="1" ht="15" hidden="1" customHeight="1" outlineLevel="1" x14ac:dyDescent="0.25">
      <c r="A69" s="163" t="str">
        <f>IF(Contents!$A$1=2,"Tax on additional income from hydrocarbon production","Налог на дополнительный доход от добычи углеводородного сырья")</f>
        <v>Налог на дополнительный доход от добычи углеводородного сырья</v>
      </c>
      <c r="B69" s="249"/>
      <c r="C69" s="180"/>
      <c r="D69" s="419">
        <v>0</v>
      </c>
      <c r="E69" s="428"/>
      <c r="F69" s="419">
        <v>0</v>
      </c>
      <c r="G69" s="428"/>
      <c r="H69" s="419">
        <v>0</v>
      </c>
      <c r="I69" s="419">
        <v>0</v>
      </c>
      <c r="J69" s="419">
        <v>0</v>
      </c>
      <c r="K69" s="419">
        <v>0</v>
      </c>
      <c r="L69" s="431"/>
      <c r="M69" s="419">
        <v>0</v>
      </c>
      <c r="N69" s="419">
        <v>0</v>
      </c>
      <c r="O69" s="419">
        <v>0</v>
      </c>
      <c r="P69" s="419">
        <v>0</v>
      </c>
      <c r="Q69" s="431"/>
      <c r="R69" s="419">
        <v>0</v>
      </c>
      <c r="S69" s="419">
        <v>0</v>
      </c>
      <c r="T69" s="419">
        <v>0</v>
      </c>
      <c r="U69" s="419">
        <v>0</v>
      </c>
      <c r="V69" s="431"/>
      <c r="W69" s="419">
        <v>4353</v>
      </c>
      <c r="X69" s="419">
        <v>5108</v>
      </c>
      <c r="Y69" s="419">
        <v>3370</v>
      </c>
      <c r="Z69" s="419">
        <v>3380</v>
      </c>
      <c r="AA69" s="431"/>
      <c r="AB69" s="419">
        <v>2055</v>
      </c>
      <c r="AC69" s="419">
        <v>299</v>
      </c>
      <c r="AD69" s="419">
        <v>882</v>
      </c>
      <c r="AE69" s="419">
        <v>2881</v>
      </c>
      <c r="AF69" s="431"/>
      <c r="AG69" s="419">
        <v>27864</v>
      </c>
      <c r="AH69" s="419">
        <v>35488</v>
      </c>
      <c r="AI69" s="419">
        <v>38799</v>
      </c>
      <c r="AJ69" s="419">
        <v>43165</v>
      </c>
      <c r="AL69" s="224"/>
      <c r="AM69" s="224"/>
      <c r="AN69" s="222"/>
    </row>
    <row r="70" spans="1:40" s="179" customFormat="1" ht="15" hidden="1" customHeight="1" outlineLevel="1" x14ac:dyDescent="0.25">
      <c r="A70" s="163" t="str">
        <f>IF(Contents!$A$1=2,"VAT","НДС")</f>
        <v>НДС</v>
      </c>
      <c r="B70" s="249" t="str">
        <f>IF(Contents!$A$1=2,"mln RUB","млн руб.")</f>
        <v>млн руб.</v>
      </c>
      <c r="C70" s="180"/>
      <c r="D70" s="419">
        <v>17682</v>
      </c>
      <c r="E70" s="428"/>
      <c r="F70" s="419">
        <v>21532</v>
      </c>
      <c r="G70" s="428"/>
      <c r="H70" s="419">
        <v>22676</v>
      </c>
      <c r="I70" s="419">
        <v>26173</v>
      </c>
      <c r="J70" s="419">
        <v>27939</v>
      </c>
      <c r="K70" s="419">
        <v>23960</v>
      </c>
      <c r="L70" s="431"/>
      <c r="M70" s="419">
        <v>25050</v>
      </c>
      <c r="N70" s="419">
        <v>23291</v>
      </c>
      <c r="O70" s="419">
        <v>29780</v>
      </c>
      <c r="P70" s="419">
        <v>34147</v>
      </c>
      <c r="Q70" s="431"/>
      <c r="R70" s="419">
        <v>34231</v>
      </c>
      <c r="S70" s="419">
        <v>43176</v>
      </c>
      <c r="T70" s="419">
        <v>48172</v>
      </c>
      <c r="U70" s="419">
        <v>34823</v>
      </c>
      <c r="V70" s="431"/>
      <c r="W70" s="419">
        <v>46386</v>
      </c>
      <c r="X70" s="419">
        <v>46090</v>
      </c>
      <c r="Y70" s="419">
        <v>42216</v>
      </c>
      <c r="Z70" s="419">
        <v>38566</v>
      </c>
      <c r="AA70" s="431"/>
      <c r="AB70" s="419">
        <v>26748</v>
      </c>
      <c r="AC70" s="419">
        <v>18002</v>
      </c>
      <c r="AD70" s="419">
        <v>34170</v>
      </c>
      <c r="AE70" s="419">
        <v>35650</v>
      </c>
      <c r="AF70" s="431"/>
      <c r="AG70" s="419">
        <v>59335</v>
      </c>
      <c r="AH70" s="419">
        <v>65709</v>
      </c>
      <c r="AI70" s="419">
        <v>80978</v>
      </c>
      <c r="AJ70" s="419">
        <v>77109</v>
      </c>
      <c r="AL70" s="224"/>
      <c r="AM70" s="224"/>
      <c r="AN70" s="227"/>
    </row>
    <row r="71" spans="1:40" s="179" customFormat="1" ht="15" hidden="1" customHeight="1" outlineLevel="1" x14ac:dyDescent="0.25">
      <c r="A71" s="163" t="str">
        <f>IF(Contents!$A$1=2,"Excise tax","Акцизы")</f>
        <v>Акцизы</v>
      </c>
      <c r="B71" s="249" t="str">
        <f>IF(Contents!$A$1=2,"mln RUB","млн руб.")</f>
        <v>млн руб.</v>
      </c>
      <c r="C71" s="180"/>
      <c r="D71" s="419">
        <v>14395</v>
      </c>
      <c r="E71" s="428"/>
      <c r="F71" s="419">
        <v>15553</v>
      </c>
      <c r="G71" s="428"/>
      <c r="H71" s="419">
        <v>16823</v>
      </c>
      <c r="I71" s="419">
        <v>18996</v>
      </c>
      <c r="J71" s="419">
        <v>18149</v>
      </c>
      <c r="K71" s="419">
        <v>16606</v>
      </c>
      <c r="L71" s="431"/>
      <c r="M71" s="419">
        <v>16987</v>
      </c>
      <c r="N71" s="419">
        <v>19238</v>
      </c>
      <c r="O71" s="419">
        <v>19525</v>
      </c>
      <c r="P71" s="419">
        <v>17750</v>
      </c>
      <c r="Q71" s="431"/>
      <c r="R71" s="419">
        <v>21745</v>
      </c>
      <c r="S71" s="419">
        <v>21505</v>
      </c>
      <c r="T71" s="419">
        <v>22066</v>
      </c>
      <c r="U71" s="419">
        <v>18887</v>
      </c>
      <c r="V71" s="431"/>
      <c r="W71" s="419">
        <v>12955</v>
      </c>
      <c r="X71" s="419">
        <v>15619</v>
      </c>
      <c r="Y71" s="419">
        <v>14511</v>
      </c>
      <c r="Z71" s="419">
        <v>14359</v>
      </c>
      <c r="AA71" s="431"/>
      <c r="AB71" s="419">
        <v>30568</v>
      </c>
      <c r="AC71" s="419">
        <v>30261</v>
      </c>
      <c r="AD71" s="419">
        <v>30724</v>
      </c>
      <c r="AE71" s="419">
        <v>22733</v>
      </c>
      <c r="AF71" s="431"/>
      <c r="AG71" s="419">
        <v>23902</v>
      </c>
      <c r="AH71" s="419">
        <v>27328</v>
      </c>
      <c r="AI71" s="419">
        <v>27863</v>
      </c>
      <c r="AJ71" s="419">
        <v>25284</v>
      </c>
      <c r="AL71" s="224"/>
      <c r="AM71" s="224"/>
      <c r="AN71" s="227"/>
    </row>
    <row r="72" spans="1:40" s="179" customFormat="1" ht="15" hidden="1" customHeight="1" outlineLevel="1" x14ac:dyDescent="0.25">
      <c r="A72" s="163" t="str">
        <f>IF(Contents!$A$1=2,"Property tax","Налог на имущество")</f>
        <v>Налог на имущество</v>
      </c>
      <c r="B72" s="249" t="str">
        <f>IF(Contents!$A$1=2,"mln RUB","млн руб.")</f>
        <v>млн руб.</v>
      </c>
      <c r="C72" s="180"/>
      <c r="D72" s="419">
        <v>3958</v>
      </c>
      <c r="E72" s="428"/>
      <c r="F72" s="419">
        <v>4583</v>
      </c>
      <c r="G72" s="428"/>
      <c r="H72" s="419">
        <v>5910</v>
      </c>
      <c r="I72" s="419">
        <v>4400</v>
      </c>
      <c r="J72" s="419">
        <v>4373</v>
      </c>
      <c r="K72" s="419">
        <v>3899</v>
      </c>
      <c r="L72" s="431"/>
      <c r="M72" s="419">
        <v>4587</v>
      </c>
      <c r="N72" s="419">
        <v>3319</v>
      </c>
      <c r="O72" s="419">
        <v>3211</v>
      </c>
      <c r="P72" s="419">
        <v>3652</v>
      </c>
      <c r="Q72" s="431"/>
      <c r="R72" s="419">
        <v>6478</v>
      </c>
      <c r="S72" s="419">
        <v>5411</v>
      </c>
      <c r="T72" s="419">
        <v>5451</v>
      </c>
      <c r="U72" s="419">
        <v>4985</v>
      </c>
      <c r="V72" s="431"/>
      <c r="W72" s="419">
        <v>10097</v>
      </c>
      <c r="X72" s="419">
        <v>5180</v>
      </c>
      <c r="Y72" s="419">
        <v>5172</v>
      </c>
      <c r="Z72" s="419">
        <v>5120</v>
      </c>
      <c r="AA72" s="431"/>
      <c r="AB72" s="419">
        <v>7086</v>
      </c>
      <c r="AC72" s="419">
        <v>5545</v>
      </c>
      <c r="AD72" s="419">
        <v>5533</v>
      </c>
      <c r="AE72" s="419">
        <v>5675</v>
      </c>
      <c r="AF72" s="431"/>
      <c r="AG72" s="419">
        <v>7405</v>
      </c>
      <c r="AH72" s="419">
        <v>5806</v>
      </c>
      <c r="AI72" s="419">
        <v>5815</v>
      </c>
      <c r="AJ72" s="419">
        <v>5409</v>
      </c>
      <c r="AL72" s="224"/>
      <c r="AM72" s="224"/>
      <c r="AN72" s="227"/>
    </row>
    <row r="73" spans="1:40" s="179" customFormat="1" ht="15" hidden="1" customHeight="1" outlineLevel="1" x14ac:dyDescent="0.25">
      <c r="A73" s="163" t="str">
        <f>IF(Contents!$A$1=2,"Other taxes","Прочие налоги")</f>
        <v>Прочие налоги</v>
      </c>
      <c r="B73" s="249" t="str">
        <f>IF(Contents!$A$1=2,"mln RUB","млн руб.")</f>
        <v>млн руб.</v>
      </c>
      <c r="C73" s="180"/>
      <c r="D73" s="419">
        <v>10332</v>
      </c>
      <c r="E73" s="428"/>
      <c r="F73" s="419">
        <v>7043</v>
      </c>
      <c r="G73" s="428"/>
      <c r="H73" s="419">
        <v>6640</v>
      </c>
      <c r="I73" s="419">
        <v>6907</v>
      </c>
      <c r="J73" s="419">
        <v>5696</v>
      </c>
      <c r="K73" s="419">
        <v>6316</v>
      </c>
      <c r="L73" s="431"/>
      <c r="M73" s="419">
        <v>5695</v>
      </c>
      <c r="N73" s="419">
        <v>6927</v>
      </c>
      <c r="O73" s="419">
        <v>5475</v>
      </c>
      <c r="P73" s="419">
        <v>6797</v>
      </c>
      <c r="Q73" s="431"/>
      <c r="R73" s="419">
        <v>5647</v>
      </c>
      <c r="S73" s="419">
        <v>8739</v>
      </c>
      <c r="T73" s="419">
        <v>5258</v>
      </c>
      <c r="U73" s="419">
        <v>7431</v>
      </c>
      <c r="V73" s="431"/>
      <c r="W73" s="419">
        <v>5842</v>
      </c>
      <c r="X73" s="419">
        <v>6264</v>
      </c>
      <c r="Y73" s="419">
        <v>5956</v>
      </c>
      <c r="Z73" s="419">
        <v>7551</v>
      </c>
      <c r="AA73" s="431"/>
      <c r="AB73" s="419">
        <v>7735</v>
      </c>
      <c r="AC73" s="419">
        <v>8073</v>
      </c>
      <c r="AD73" s="419">
        <v>7455</v>
      </c>
      <c r="AE73" s="419">
        <v>9573</v>
      </c>
      <c r="AF73" s="431"/>
      <c r="AG73" s="419">
        <v>8870</v>
      </c>
      <c r="AH73" s="419">
        <v>9331</v>
      </c>
      <c r="AI73" s="419">
        <v>8670</v>
      </c>
      <c r="AJ73" s="419">
        <v>12537</v>
      </c>
      <c r="AL73" s="224"/>
      <c r="AM73" s="224"/>
      <c r="AN73" s="227"/>
    </row>
    <row r="74" spans="1:40" s="1" customFormat="1" ht="15" customHeight="1" collapsed="1" x14ac:dyDescent="0.25">
      <c r="A74" s="83" t="str">
        <f>IF(Contents!$A$1=2,"Provisions","Оценочные обязательства")</f>
        <v>Оценочные обязательства</v>
      </c>
      <c r="B74" s="248" t="str">
        <f>IF(Contents!$A$1=2,"mln RUB","млн руб.")</f>
        <v>млн руб.</v>
      </c>
      <c r="C74" s="84"/>
      <c r="D74" s="429">
        <v>21007</v>
      </c>
      <c r="E74" s="418"/>
      <c r="F74" s="429">
        <v>25553</v>
      </c>
      <c r="G74" s="418"/>
      <c r="H74" s="429">
        <v>30202</v>
      </c>
      <c r="I74" s="429">
        <v>27168</v>
      </c>
      <c r="J74" s="429">
        <v>24731</v>
      </c>
      <c r="K74" s="429">
        <v>26015</v>
      </c>
      <c r="L74" s="430"/>
      <c r="M74" s="429">
        <v>48225</v>
      </c>
      <c r="N74" s="429">
        <v>43669</v>
      </c>
      <c r="O74" s="429">
        <v>46645</v>
      </c>
      <c r="P74" s="429">
        <v>58253</v>
      </c>
      <c r="Q74" s="430"/>
      <c r="R74" s="429">
        <v>38390</v>
      </c>
      <c r="S74" s="429">
        <v>35225</v>
      </c>
      <c r="T74" s="429">
        <v>32179</v>
      </c>
      <c r="U74" s="429">
        <v>38266</v>
      </c>
      <c r="V74" s="430"/>
      <c r="W74" s="429">
        <v>40003</v>
      </c>
      <c r="X74" s="429">
        <v>35321</v>
      </c>
      <c r="Y74" s="429">
        <v>38458</v>
      </c>
      <c r="Z74" s="429">
        <v>37232</v>
      </c>
      <c r="AA74" s="430"/>
      <c r="AB74" s="429">
        <v>45271</v>
      </c>
      <c r="AC74" s="429">
        <v>39862</v>
      </c>
      <c r="AD74" s="429">
        <v>46755</v>
      </c>
      <c r="AE74" s="429">
        <v>27136</v>
      </c>
      <c r="AF74" s="430"/>
      <c r="AG74" s="429">
        <v>32078</v>
      </c>
      <c r="AH74" s="429">
        <v>26088</v>
      </c>
      <c r="AI74" s="429">
        <v>32656</v>
      </c>
      <c r="AJ74" s="429">
        <v>24367</v>
      </c>
      <c r="AK74" s="206"/>
      <c r="AL74" s="224"/>
      <c r="AM74" s="224"/>
      <c r="AN74" s="227"/>
    </row>
    <row r="75" spans="1:40" s="179" customFormat="1" ht="15" hidden="1" customHeight="1" outlineLevel="1" x14ac:dyDescent="0.25">
      <c r="A75" s="163" t="str">
        <f>IF(Contents!$A$1=2,"Asset retirement obligations","Обязательства, связанные с окончанием использования активов")</f>
        <v>Обязательства, связанные с окончанием использования активов</v>
      </c>
      <c r="B75" s="249" t="str">
        <f>IF(Contents!$A$1=2,"mln RUB","млн руб.")</f>
        <v>млн руб.</v>
      </c>
      <c r="C75" s="180"/>
      <c r="D75" s="419">
        <v>330</v>
      </c>
      <c r="E75" s="428"/>
      <c r="F75" s="419">
        <v>287</v>
      </c>
      <c r="G75" s="428"/>
      <c r="H75" s="419">
        <v>541</v>
      </c>
      <c r="I75" s="419">
        <v>1759</v>
      </c>
      <c r="J75" s="419">
        <v>1467</v>
      </c>
      <c r="K75" s="419">
        <v>1521</v>
      </c>
      <c r="L75" s="431"/>
      <c r="M75" s="419">
        <v>176</v>
      </c>
      <c r="N75" s="419">
        <v>386</v>
      </c>
      <c r="O75" s="419">
        <v>364</v>
      </c>
      <c r="P75" s="419">
        <v>190</v>
      </c>
      <c r="Q75" s="431"/>
      <c r="R75" s="419">
        <v>266</v>
      </c>
      <c r="S75" s="419">
        <v>282</v>
      </c>
      <c r="T75" s="419">
        <v>257</v>
      </c>
      <c r="U75" s="419">
        <v>382</v>
      </c>
      <c r="V75" s="431"/>
      <c r="W75" s="419">
        <v>185</v>
      </c>
      <c r="X75" s="419">
        <v>215</v>
      </c>
      <c r="Y75" s="419">
        <v>211</v>
      </c>
      <c r="Z75" s="419">
        <v>720</v>
      </c>
      <c r="AA75" s="431"/>
      <c r="AB75" s="419">
        <v>717</v>
      </c>
      <c r="AC75" s="419">
        <v>686</v>
      </c>
      <c r="AD75" s="419">
        <v>641</v>
      </c>
      <c r="AE75" s="419">
        <v>698</v>
      </c>
      <c r="AF75" s="431"/>
      <c r="AG75" s="419">
        <v>581</v>
      </c>
      <c r="AH75" s="419">
        <v>608</v>
      </c>
      <c r="AI75" s="419">
        <v>506</v>
      </c>
      <c r="AJ75" s="419">
        <v>336</v>
      </c>
      <c r="AL75" s="224"/>
      <c r="AM75" s="224"/>
      <c r="AN75" s="222"/>
    </row>
    <row r="76" spans="1:40" s="179" customFormat="1" ht="15" hidden="1" customHeight="1" outlineLevel="1" x14ac:dyDescent="0.25">
      <c r="A76" s="163" t="str">
        <f>IF(Contents!$A$1=2,"Provision for employee compensations","Обязательства по выплате вознаграждения сотрудникам")</f>
        <v>Обязательства по выплате вознаграждения сотрудникам</v>
      </c>
      <c r="B76" s="249" t="str">
        <f>IF(Contents!$A$1=2,"mln RUB","млн руб.")</f>
        <v>млн руб.</v>
      </c>
      <c r="C76" s="180"/>
      <c r="D76" s="419">
        <v>7773</v>
      </c>
      <c r="E76" s="428"/>
      <c r="F76" s="419">
        <v>13104</v>
      </c>
      <c r="G76" s="428"/>
      <c r="H76" s="419">
        <v>17266</v>
      </c>
      <c r="I76" s="419">
        <v>11600</v>
      </c>
      <c r="J76" s="419">
        <v>13609</v>
      </c>
      <c r="K76" s="419">
        <v>12426</v>
      </c>
      <c r="L76" s="431"/>
      <c r="M76" s="419">
        <v>34147</v>
      </c>
      <c r="N76" s="419">
        <v>29461</v>
      </c>
      <c r="O76" s="419">
        <v>34253</v>
      </c>
      <c r="P76" s="419">
        <v>36158</v>
      </c>
      <c r="Q76" s="431"/>
      <c r="R76" s="419">
        <v>15643</v>
      </c>
      <c r="S76" s="419">
        <v>11824</v>
      </c>
      <c r="T76" s="419">
        <v>11360</v>
      </c>
      <c r="U76" s="419">
        <v>9138</v>
      </c>
      <c r="V76" s="431"/>
      <c r="W76" s="419">
        <v>12436</v>
      </c>
      <c r="X76" s="419">
        <v>8098</v>
      </c>
      <c r="Y76" s="419">
        <v>12012</v>
      </c>
      <c r="Z76" s="419">
        <v>9499</v>
      </c>
      <c r="AA76" s="431"/>
      <c r="AB76" s="419">
        <v>14154</v>
      </c>
      <c r="AC76" s="419">
        <v>9048</v>
      </c>
      <c r="AD76" s="419">
        <v>13254</v>
      </c>
      <c r="AE76" s="419">
        <v>10764</v>
      </c>
      <c r="AF76" s="431"/>
      <c r="AG76" s="419">
        <v>14577</v>
      </c>
      <c r="AH76" s="419">
        <v>9358</v>
      </c>
      <c r="AI76" s="419">
        <v>13566</v>
      </c>
      <c r="AJ76" s="419">
        <v>2151</v>
      </c>
      <c r="AL76" s="224"/>
      <c r="AM76" s="224"/>
      <c r="AN76" s="227"/>
    </row>
    <row r="77" spans="1:40" s="179" customFormat="1" ht="15" hidden="1" customHeight="1" outlineLevel="1" x14ac:dyDescent="0.25">
      <c r="A77" s="163" t="str">
        <f>IF(Contents!$A$1=2,"Provision for environmental liabilities","Обязательства по природоохранным мероприятиям")</f>
        <v>Обязательства по природоохранным мероприятиям</v>
      </c>
      <c r="B77" s="249" t="str">
        <f>IF(Contents!$A$1=2,"mln RUB","млн руб.")</f>
        <v>млн руб.</v>
      </c>
      <c r="C77" s="180"/>
      <c r="D77" s="419">
        <v>2049</v>
      </c>
      <c r="E77" s="428"/>
      <c r="F77" s="419">
        <v>1880</v>
      </c>
      <c r="G77" s="428"/>
      <c r="H77" s="419">
        <v>2022</v>
      </c>
      <c r="I77" s="419">
        <v>2187</v>
      </c>
      <c r="J77" s="419">
        <v>1918</v>
      </c>
      <c r="K77" s="419">
        <v>1966</v>
      </c>
      <c r="L77" s="431"/>
      <c r="M77" s="419">
        <v>2207</v>
      </c>
      <c r="N77" s="419">
        <v>2458</v>
      </c>
      <c r="O77" s="419">
        <v>2127</v>
      </c>
      <c r="P77" s="419">
        <v>2493</v>
      </c>
      <c r="Q77" s="431"/>
      <c r="R77" s="419">
        <v>2472</v>
      </c>
      <c r="S77" s="419">
        <v>2458</v>
      </c>
      <c r="T77" s="419">
        <v>2311</v>
      </c>
      <c r="U77" s="419">
        <v>2410</v>
      </c>
      <c r="V77" s="431"/>
      <c r="W77" s="419">
        <v>2390</v>
      </c>
      <c r="X77" s="419">
        <v>2324</v>
      </c>
      <c r="Y77" s="419">
        <v>2224</v>
      </c>
      <c r="Z77" s="419">
        <v>2608</v>
      </c>
      <c r="AA77" s="431"/>
      <c r="AB77" s="419">
        <v>2560</v>
      </c>
      <c r="AC77" s="419">
        <v>2642</v>
      </c>
      <c r="AD77" s="419">
        <v>2515</v>
      </c>
      <c r="AE77" s="419">
        <v>2875</v>
      </c>
      <c r="AF77" s="431"/>
      <c r="AG77" s="419">
        <v>2695</v>
      </c>
      <c r="AH77" s="419">
        <v>2979</v>
      </c>
      <c r="AI77" s="419">
        <v>3004</v>
      </c>
      <c r="AJ77" s="419">
        <v>3044</v>
      </c>
      <c r="AL77" s="224"/>
      <c r="AM77" s="224"/>
      <c r="AN77" s="227"/>
    </row>
    <row r="78" spans="1:40" s="179" customFormat="1" ht="15" hidden="1" customHeight="1" outlineLevel="1" x14ac:dyDescent="0.25">
      <c r="A78" s="163" t="str">
        <f>IF(Contents!$A$1=2,"Pension liabilities","Пенсионные обязательства")</f>
        <v>Пенсионные обязательства</v>
      </c>
      <c r="B78" s="249" t="str">
        <f>IF(Contents!$A$1=2,"mln RUB","млн руб.")</f>
        <v>млн руб.</v>
      </c>
      <c r="C78" s="180"/>
      <c r="D78" s="419">
        <v>1686</v>
      </c>
      <c r="E78" s="428"/>
      <c r="F78" s="419">
        <v>1521</v>
      </c>
      <c r="G78" s="428"/>
      <c r="H78" s="419">
        <v>1511</v>
      </c>
      <c r="I78" s="419">
        <v>1498</v>
      </c>
      <c r="J78" s="419">
        <v>1498</v>
      </c>
      <c r="K78" s="419">
        <v>1518</v>
      </c>
      <c r="L78" s="431"/>
      <c r="M78" s="419">
        <v>1516</v>
      </c>
      <c r="N78" s="419">
        <v>1516</v>
      </c>
      <c r="O78" s="419">
        <v>1509</v>
      </c>
      <c r="P78" s="419">
        <v>2075</v>
      </c>
      <c r="Q78" s="431"/>
      <c r="R78" s="419">
        <v>2069</v>
      </c>
      <c r="S78" s="419">
        <v>2099</v>
      </c>
      <c r="T78" s="419">
        <v>1735</v>
      </c>
      <c r="U78" s="419">
        <v>2994</v>
      </c>
      <c r="V78" s="431"/>
      <c r="W78" s="419">
        <v>2940</v>
      </c>
      <c r="X78" s="419">
        <v>2928</v>
      </c>
      <c r="Y78" s="419">
        <v>2934</v>
      </c>
      <c r="Z78" s="419">
        <v>2234</v>
      </c>
      <c r="AA78" s="431"/>
      <c r="AB78" s="419">
        <v>2530</v>
      </c>
      <c r="AC78" s="419">
        <v>2717</v>
      </c>
      <c r="AD78" s="419">
        <v>2971</v>
      </c>
      <c r="AE78" s="419">
        <v>2116</v>
      </c>
      <c r="AF78" s="431"/>
      <c r="AG78" s="419">
        <v>2017</v>
      </c>
      <c r="AH78" s="419">
        <v>2019</v>
      </c>
      <c r="AI78" s="419">
        <v>2008</v>
      </c>
      <c r="AJ78" s="419">
        <v>2227</v>
      </c>
      <c r="AL78" s="224"/>
      <c r="AM78" s="224"/>
      <c r="AN78" s="227"/>
    </row>
    <row r="79" spans="1:40" s="179" customFormat="1" ht="15" hidden="1" customHeight="1" outlineLevel="1" x14ac:dyDescent="0.25">
      <c r="A79" s="345" t="str">
        <f>IF(Contents!$A$1=2,"Provision for unused vacations","Обязательства по предстоящей оплате отпусков")</f>
        <v>Обязательства по предстоящей оплате отпусков</v>
      </c>
      <c r="B79" s="249" t="str">
        <f>IF(Contents!$A$1=2,"mln RUB","млн руб.")</f>
        <v>млн руб.</v>
      </c>
      <c r="C79" s="180"/>
      <c r="D79" s="419">
        <v>3390</v>
      </c>
      <c r="E79" s="428"/>
      <c r="F79" s="419">
        <v>3457</v>
      </c>
      <c r="G79" s="428"/>
      <c r="H79" s="419">
        <v>5004</v>
      </c>
      <c r="I79" s="419">
        <v>4878</v>
      </c>
      <c r="J79" s="419">
        <v>3849</v>
      </c>
      <c r="K79" s="419">
        <v>4853</v>
      </c>
      <c r="L79" s="431"/>
      <c r="M79" s="419">
        <v>5806</v>
      </c>
      <c r="N79" s="419">
        <v>5419</v>
      </c>
      <c r="O79" s="419">
        <v>4507</v>
      </c>
      <c r="P79" s="419">
        <v>5418</v>
      </c>
      <c r="Q79" s="431"/>
      <c r="R79" s="419">
        <v>6025</v>
      </c>
      <c r="S79" s="419">
        <v>5640</v>
      </c>
      <c r="T79" s="419">
        <v>4543</v>
      </c>
      <c r="U79" s="419">
        <v>5790</v>
      </c>
      <c r="V79" s="431"/>
      <c r="W79" s="419">
        <v>5977</v>
      </c>
      <c r="X79" s="419">
        <v>5774</v>
      </c>
      <c r="Y79" s="419">
        <v>4731</v>
      </c>
      <c r="Z79" s="419">
        <v>5708</v>
      </c>
      <c r="AA79" s="431"/>
      <c r="AB79" s="419">
        <v>6608</v>
      </c>
      <c r="AC79" s="419">
        <v>6634</v>
      </c>
      <c r="AD79" s="419">
        <v>5209</v>
      </c>
      <c r="AE79" s="419">
        <v>6004</v>
      </c>
      <c r="AF79" s="431"/>
      <c r="AG79" s="419">
        <v>6943</v>
      </c>
      <c r="AH79" s="419">
        <v>6954</v>
      </c>
      <c r="AI79" s="419">
        <v>5396</v>
      </c>
      <c r="AJ79" s="419">
        <v>6598</v>
      </c>
      <c r="AL79" s="224"/>
      <c r="AM79" s="224"/>
      <c r="AN79" s="227"/>
    </row>
    <row r="80" spans="1:40" s="179" customFormat="1" ht="15" hidden="1" customHeight="1" outlineLevel="1" x14ac:dyDescent="0.25">
      <c r="A80" s="163" t="str">
        <f>IF(Contents!$A$1=2,"Other provisions","Прочие оценочные обязательства")</f>
        <v>Прочие оценочные обязательства</v>
      </c>
      <c r="B80" s="249" t="str">
        <f>IF(Contents!$A$1=2,"mln RUB","млн руб.")</f>
        <v>млн руб.</v>
      </c>
      <c r="C80" s="180"/>
      <c r="D80" s="419">
        <v>5779</v>
      </c>
      <c r="E80" s="428"/>
      <c r="F80" s="419">
        <v>5304</v>
      </c>
      <c r="G80" s="428"/>
      <c r="H80" s="419">
        <v>3858</v>
      </c>
      <c r="I80" s="419">
        <v>5246</v>
      </c>
      <c r="J80" s="419">
        <v>2390</v>
      </c>
      <c r="K80" s="419">
        <v>3731</v>
      </c>
      <c r="L80" s="431"/>
      <c r="M80" s="419">
        <v>4373</v>
      </c>
      <c r="N80" s="419">
        <v>4429</v>
      </c>
      <c r="O80" s="419">
        <v>3885</v>
      </c>
      <c r="P80" s="419">
        <v>11919</v>
      </c>
      <c r="Q80" s="431"/>
      <c r="R80" s="419">
        <v>11915</v>
      </c>
      <c r="S80" s="419">
        <v>12922</v>
      </c>
      <c r="T80" s="419">
        <v>11973</v>
      </c>
      <c r="U80" s="419">
        <v>17552</v>
      </c>
      <c r="V80" s="431"/>
      <c r="W80" s="419">
        <v>16075</v>
      </c>
      <c r="X80" s="419">
        <v>15982</v>
      </c>
      <c r="Y80" s="419">
        <v>16346</v>
      </c>
      <c r="Z80" s="419">
        <v>16463</v>
      </c>
      <c r="AA80" s="431"/>
      <c r="AB80" s="419">
        <v>18702</v>
      </c>
      <c r="AC80" s="419">
        <v>18135</v>
      </c>
      <c r="AD80" s="419">
        <v>22165</v>
      </c>
      <c r="AE80" s="419">
        <v>4679</v>
      </c>
      <c r="AF80" s="431"/>
      <c r="AG80" s="419">
        <v>5265</v>
      </c>
      <c r="AH80" s="419">
        <v>4170</v>
      </c>
      <c r="AI80" s="419">
        <v>8176</v>
      </c>
      <c r="AJ80" s="419">
        <v>10011</v>
      </c>
      <c r="AL80" s="224"/>
      <c r="AM80" s="224"/>
      <c r="AN80" s="227"/>
    </row>
    <row r="81" spans="1:40" s="1" customFormat="1" ht="15" customHeight="1" collapsed="1" x14ac:dyDescent="0.25">
      <c r="A81" s="83" t="str">
        <f>IF(Contents!$A$1=2,"Other current liabilities","Прочие краткосрочные обязательства")</f>
        <v>Прочие краткосрочные обязательства</v>
      </c>
      <c r="B81" s="248" t="str">
        <f>IF(Contents!$A$1=2,"mln RUB","млн руб.")</f>
        <v>млн руб.</v>
      </c>
      <c r="C81" s="84"/>
      <c r="D81" s="429">
        <v>154555</v>
      </c>
      <c r="E81" s="418"/>
      <c r="F81" s="429">
        <v>129853</v>
      </c>
      <c r="G81" s="418"/>
      <c r="H81" s="417">
        <v>51230</v>
      </c>
      <c r="I81" s="417">
        <v>114141</v>
      </c>
      <c r="J81" s="417">
        <v>33653</v>
      </c>
      <c r="K81" s="417">
        <v>97110</v>
      </c>
      <c r="L81" s="418"/>
      <c r="M81" s="417">
        <v>29604</v>
      </c>
      <c r="N81" s="417">
        <v>132237</v>
      </c>
      <c r="O81" s="417">
        <v>24749</v>
      </c>
      <c r="P81" s="417">
        <v>93420</v>
      </c>
      <c r="Q81" s="418"/>
      <c r="R81" s="417">
        <v>31817</v>
      </c>
      <c r="S81" s="417">
        <v>129093</v>
      </c>
      <c r="T81" s="417">
        <v>33462</v>
      </c>
      <c r="U81" s="417">
        <v>105567</v>
      </c>
      <c r="V81" s="418"/>
      <c r="W81" s="417">
        <v>22466</v>
      </c>
      <c r="X81" s="417">
        <v>143043</v>
      </c>
      <c r="Y81" s="417">
        <v>23818</v>
      </c>
      <c r="Z81" s="417">
        <v>168952</v>
      </c>
      <c r="AA81" s="418"/>
      <c r="AB81" s="417">
        <v>27894</v>
      </c>
      <c r="AC81" s="417">
        <v>277623</v>
      </c>
      <c r="AD81" s="417">
        <v>24008</v>
      </c>
      <c r="AE81" s="417">
        <v>35497</v>
      </c>
      <c r="AF81" s="418"/>
      <c r="AG81" s="417">
        <v>30278</v>
      </c>
      <c r="AH81" s="417">
        <v>185279</v>
      </c>
      <c r="AI81" s="417">
        <v>49256</v>
      </c>
      <c r="AJ81" s="417">
        <v>71408</v>
      </c>
      <c r="AK81" s="456"/>
      <c r="AL81" s="224"/>
      <c r="AM81" s="224"/>
      <c r="AN81" s="227"/>
    </row>
    <row r="82" spans="1:40" s="206" customFormat="1" ht="15" hidden="1" customHeight="1" outlineLevel="1" x14ac:dyDescent="0.25">
      <c r="A82" s="163" t="str">
        <f>IF(Contents!$A$1=2,"Advances received","Авансы полученные")</f>
        <v>Авансы полученные</v>
      </c>
      <c r="B82" s="249" t="str">
        <f>IF(Contents!$A$1=2,"mln RUB","млн руб.")</f>
        <v>млн руб.</v>
      </c>
      <c r="C82" s="84"/>
      <c r="D82" s="419">
        <v>110677</v>
      </c>
      <c r="E82" s="428"/>
      <c r="F82" s="419">
        <v>79424</v>
      </c>
      <c r="G82" s="428"/>
      <c r="H82" s="419">
        <v>48407</v>
      </c>
      <c r="I82" s="419">
        <v>28906</v>
      </c>
      <c r="J82" s="419">
        <v>23855</v>
      </c>
      <c r="K82" s="419">
        <v>35261</v>
      </c>
      <c r="L82" s="431"/>
      <c r="M82" s="419">
        <v>23098</v>
      </c>
      <c r="N82" s="419">
        <v>40100</v>
      </c>
      <c r="O82" s="419">
        <v>17655</v>
      </c>
      <c r="P82" s="419">
        <v>27698</v>
      </c>
      <c r="Q82" s="431"/>
      <c r="R82" s="419">
        <v>27173</v>
      </c>
      <c r="S82" s="419">
        <v>32187</v>
      </c>
      <c r="T82" s="419">
        <v>28041</v>
      </c>
      <c r="U82" s="419">
        <v>30249</v>
      </c>
      <c r="V82" s="431"/>
      <c r="W82" s="419">
        <v>19292</v>
      </c>
      <c r="X82" s="419">
        <v>27124</v>
      </c>
      <c r="Y82" s="419">
        <v>19640</v>
      </c>
      <c r="Z82" s="419">
        <v>30868</v>
      </c>
      <c r="AA82" s="431"/>
      <c r="AB82" s="419">
        <v>24653</v>
      </c>
      <c r="AC82" s="419">
        <v>31619</v>
      </c>
      <c r="AD82" s="419">
        <v>19894</v>
      </c>
      <c r="AE82" s="419">
        <v>31142</v>
      </c>
      <c r="AF82" s="431"/>
      <c r="AG82" s="419">
        <v>25662</v>
      </c>
      <c r="AH82" s="419">
        <v>28170</v>
      </c>
      <c r="AI82" s="419">
        <v>41525</v>
      </c>
      <c r="AJ82" s="419">
        <v>41643</v>
      </c>
      <c r="AL82" s="224"/>
      <c r="AM82" s="224"/>
      <c r="AN82" s="227"/>
    </row>
    <row r="83" spans="1:40" s="206" customFormat="1" ht="15" hidden="1" customHeight="1" outlineLevel="1" x14ac:dyDescent="0.25">
      <c r="A83" s="163" t="str">
        <f>IF(Contents!$A$1=2,"Dividends payable","Задолженность по дивидендам")</f>
        <v>Задолженность по дивидендам</v>
      </c>
      <c r="B83" s="249" t="str">
        <f>IF(Contents!$A$1=2,"mln RUB","млн руб.")</f>
        <v>млн руб.</v>
      </c>
      <c r="C83" s="84"/>
      <c r="D83" s="419">
        <v>41770</v>
      </c>
      <c r="E83" s="428"/>
      <c r="F83" s="419">
        <v>47615</v>
      </c>
      <c r="G83" s="428"/>
      <c r="H83" s="419">
        <v>320</v>
      </c>
      <c r="I83" s="419">
        <v>81907</v>
      </c>
      <c r="J83" s="419">
        <v>1397</v>
      </c>
      <c r="K83" s="419">
        <v>55285</v>
      </c>
      <c r="L83" s="431"/>
      <c r="M83" s="419">
        <v>379</v>
      </c>
      <c r="N83" s="419">
        <v>86545</v>
      </c>
      <c r="O83" s="419">
        <v>912</v>
      </c>
      <c r="P83" s="419">
        <v>62254</v>
      </c>
      <c r="Q83" s="431"/>
      <c r="R83" s="419">
        <v>440</v>
      </c>
      <c r="S83" s="419">
        <v>93960</v>
      </c>
      <c r="T83" s="419">
        <v>1333</v>
      </c>
      <c r="U83" s="419">
        <v>72103</v>
      </c>
      <c r="V83" s="431"/>
      <c r="W83" s="419">
        <v>451</v>
      </c>
      <c r="X83" s="419">
        <v>113022</v>
      </c>
      <c r="Y83" s="419">
        <v>1082</v>
      </c>
      <c r="Z83" s="419">
        <v>135034</v>
      </c>
      <c r="AA83" s="431"/>
      <c r="AB83" s="419">
        <v>535</v>
      </c>
      <c r="AC83" s="419">
        <v>242956</v>
      </c>
      <c r="AD83" s="419">
        <v>1730</v>
      </c>
      <c r="AE83" s="419">
        <v>1610</v>
      </c>
      <c r="AF83" s="431"/>
      <c r="AG83" s="419">
        <v>631</v>
      </c>
      <c r="AH83" s="419">
        <v>148124</v>
      </c>
      <c r="AI83" s="419">
        <v>680</v>
      </c>
      <c r="AJ83" s="419">
        <v>25701</v>
      </c>
      <c r="AL83" s="224"/>
      <c r="AM83" s="224"/>
      <c r="AN83" s="227"/>
    </row>
    <row r="84" spans="1:40" s="206" customFormat="1" ht="15" hidden="1" customHeight="1" outlineLevel="1" x14ac:dyDescent="0.25">
      <c r="A84" s="163" t="str">
        <f>IF(Contents!$A$1=2,"Other","Прочее")</f>
        <v>Прочее</v>
      </c>
      <c r="B84" s="249" t="str">
        <f>IF(Contents!$A$1=2,"mln RUB","млн руб.")</f>
        <v>млн руб.</v>
      </c>
      <c r="C84" s="84"/>
      <c r="D84" s="419">
        <v>2108</v>
      </c>
      <c r="E84" s="428"/>
      <c r="F84" s="419">
        <v>2814</v>
      </c>
      <c r="G84" s="428"/>
      <c r="H84" s="419">
        <v>2503</v>
      </c>
      <c r="I84" s="419">
        <v>3328</v>
      </c>
      <c r="J84" s="419">
        <v>8401</v>
      </c>
      <c r="K84" s="419">
        <v>6564</v>
      </c>
      <c r="L84" s="431"/>
      <c r="M84" s="419">
        <v>6127</v>
      </c>
      <c r="N84" s="419">
        <v>5592</v>
      </c>
      <c r="O84" s="419">
        <v>6182</v>
      </c>
      <c r="P84" s="419">
        <v>3468</v>
      </c>
      <c r="Q84" s="431"/>
      <c r="R84" s="419">
        <v>4204</v>
      </c>
      <c r="S84" s="419">
        <v>2946</v>
      </c>
      <c r="T84" s="419">
        <v>4088</v>
      </c>
      <c r="U84" s="419">
        <v>3215</v>
      </c>
      <c r="V84" s="431"/>
      <c r="W84" s="419">
        <v>2723</v>
      </c>
      <c r="X84" s="419">
        <v>2897</v>
      </c>
      <c r="Y84" s="419">
        <v>3096</v>
      </c>
      <c r="Z84" s="419">
        <v>3050</v>
      </c>
      <c r="AA84" s="431"/>
      <c r="AB84" s="419">
        <v>2706</v>
      </c>
      <c r="AC84" s="419">
        <v>3048</v>
      </c>
      <c r="AD84" s="419">
        <v>2384</v>
      </c>
      <c r="AE84" s="419">
        <v>2745</v>
      </c>
      <c r="AF84" s="431"/>
      <c r="AG84" s="419">
        <v>3985</v>
      </c>
      <c r="AH84" s="419">
        <v>8985</v>
      </c>
      <c r="AI84" s="419">
        <v>7051</v>
      </c>
      <c r="AJ84" s="419">
        <v>4064</v>
      </c>
      <c r="AL84" s="224"/>
      <c r="AM84" s="224"/>
      <c r="AN84" s="227"/>
    </row>
    <row r="85" spans="1:40" s="1" customFormat="1" ht="15" customHeight="1" x14ac:dyDescent="0.25">
      <c r="A85" s="83" t="str">
        <f>IF(Contents!$A$1=2,"Liabilities related to assets held for sale","Обязательства, относящиеся к активам для продажи")</f>
        <v>Обязательства, относящиеся к активам для продажи</v>
      </c>
      <c r="B85" s="248" t="str">
        <f>IF(Contents!$A$1=2,"mln RUB","млн руб.")</f>
        <v>млн руб.</v>
      </c>
      <c r="C85" s="84"/>
      <c r="D85" s="454">
        <v>543</v>
      </c>
      <c r="E85" s="455"/>
      <c r="F85" s="454">
        <v>0</v>
      </c>
      <c r="G85" s="455"/>
      <c r="H85" s="454">
        <v>0</v>
      </c>
      <c r="I85" s="454">
        <v>0</v>
      </c>
      <c r="J85" s="454">
        <v>0</v>
      </c>
      <c r="K85" s="454">
        <v>3930</v>
      </c>
      <c r="L85" s="455"/>
      <c r="M85" s="454">
        <v>4038</v>
      </c>
      <c r="N85" s="454">
        <v>0</v>
      </c>
      <c r="O85" s="454">
        <v>0</v>
      </c>
      <c r="P85" s="454">
        <v>0</v>
      </c>
      <c r="Q85" s="454"/>
      <c r="R85" s="454">
        <v>0</v>
      </c>
      <c r="S85" s="454">
        <v>0</v>
      </c>
      <c r="T85" s="454">
        <v>0</v>
      </c>
      <c r="U85" s="454">
        <v>0</v>
      </c>
      <c r="V85" s="455"/>
      <c r="W85" s="454">
        <v>0</v>
      </c>
      <c r="X85" s="454">
        <v>0</v>
      </c>
      <c r="Y85" s="454">
        <v>0</v>
      </c>
      <c r="Z85" s="454">
        <v>0</v>
      </c>
      <c r="AA85" s="455"/>
      <c r="AB85" s="454">
        <v>0</v>
      </c>
      <c r="AC85" s="454">
        <v>0</v>
      </c>
      <c r="AD85" s="454">
        <v>0</v>
      </c>
      <c r="AE85" s="454">
        <v>0</v>
      </c>
      <c r="AF85" s="455"/>
      <c r="AG85" s="454">
        <v>0</v>
      </c>
      <c r="AH85" s="454">
        <v>0</v>
      </c>
      <c r="AI85" s="454">
        <v>0</v>
      </c>
      <c r="AJ85" s="454">
        <v>0</v>
      </c>
      <c r="AK85" s="206"/>
      <c r="AL85" s="224"/>
      <c r="AM85" s="224"/>
      <c r="AN85" s="222"/>
    </row>
    <row r="86" spans="1:40" s="206" customFormat="1" ht="15" customHeight="1" x14ac:dyDescent="0.25">
      <c r="A86" s="347" t="str">
        <f>IF(Contents!$A$1=2,"Obligation to repurchase common shares","Обязательство по выкупу обыкновенных акций")</f>
        <v>Обязательство по выкупу обыкновенных акций</v>
      </c>
      <c r="B86" s="248"/>
      <c r="C86" s="84"/>
      <c r="D86" s="454">
        <v>0</v>
      </c>
      <c r="E86" s="455"/>
      <c r="F86" s="454">
        <v>0</v>
      </c>
      <c r="G86" s="455"/>
      <c r="H86" s="454">
        <v>0</v>
      </c>
      <c r="I86" s="454">
        <v>0</v>
      </c>
      <c r="J86" s="454">
        <v>0</v>
      </c>
      <c r="K86" s="454">
        <v>0</v>
      </c>
      <c r="L86" s="455"/>
      <c r="M86" s="454">
        <v>0</v>
      </c>
      <c r="N86" s="454">
        <v>0</v>
      </c>
      <c r="O86" s="454">
        <v>0</v>
      </c>
      <c r="P86" s="454">
        <v>0</v>
      </c>
      <c r="Q86" s="455"/>
      <c r="R86" s="454">
        <v>0</v>
      </c>
      <c r="S86" s="454">
        <v>0</v>
      </c>
      <c r="T86" s="454">
        <v>0</v>
      </c>
      <c r="U86" s="454">
        <v>0</v>
      </c>
      <c r="V86" s="455"/>
      <c r="W86" s="454">
        <v>0</v>
      </c>
      <c r="X86" s="454">
        <v>171169</v>
      </c>
      <c r="Y86" s="454">
        <v>0</v>
      </c>
      <c r="Z86" s="454">
        <v>120988</v>
      </c>
      <c r="AA86" s="455"/>
      <c r="AB86" s="454">
        <v>0</v>
      </c>
      <c r="AC86" s="454">
        <v>0</v>
      </c>
      <c r="AD86" s="454">
        <v>0</v>
      </c>
      <c r="AE86" s="454">
        <v>0</v>
      </c>
      <c r="AF86" s="455"/>
      <c r="AG86" s="454">
        <v>0</v>
      </c>
      <c r="AH86" s="454">
        <v>0</v>
      </c>
      <c r="AI86" s="454">
        <v>0</v>
      </c>
      <c r="AJ86" s="454">
        <v>0</v>
      </c>
      <c r="AL86" s="224"/>
      <c r="AM86" s="224"/>
      <c r="AN86" s="222"/>
    </row>
    <row r="87" spans="1:40" s="1" customFormat="1" ht="15" customHeight="1" x14ac:dyDescent="0.25">
      <c r="A87" s="113" t="str">
        <f>IF(Contents!$A$1=2,"Total current liabilities","Итого краткосрочные обязательства")</f>
        <v>Итого краткосрочные обязательства</v>
      </c>
      <c r="B87" s="256" t="str">
        <f>IF(Contents!$A$1=2,"mln RUB","млн руб.")</f>
        <v>млн руб.</v>
      </c>
      <c r="C87" s="79"/>
      <c r="D87" s="420">
        <v>779446</v>
      </c>
      <c r="E87" s="426"/>
      <c r="F87" s="420">
        <v>695168</v>
      </c>
      <c r="G87" s="426"/>
      <c r="H87" s="420">
        <v>620265</v>
      </c>
      <c r="I87" s="420">
        <v>798656</v>
      </c>
      <c r="J87" s="420">
        <v>685216</v>
      </c>
      <c r="K87" s="420">
        <v>830686</v>
      </c>
      <c r="L87" s="426"/>
      <c r="M87" s="420">
        <v>647115</v>
      </c>
      <c r="N87" s="420">
        <v>788870</v>
      </c>
      <c r="O87" s="420">
        <v>769540</v>
      </c>
      <c r="P87" s="420">
        <v>958847</v>
      </c>
      <c r="Q87" s="426"/>
      <c r="R87" s="420">
        <v>828019</v>
      </c>
      <c r="S87" s="420">
        <v>963517</v>
      </c>
      <c r="T87" s="420">
        <v>932065</v>
      </c>
      <c r="U87" s="420">
        <v>914560</v>
      </c>
      <c r="V87" s="426"/>
      <c r="W87" s="420">
        <v>924205</v>
      </c>
      <c r="X87" s="420">
        <v>1197008</v>
      </c>
      <c r="Y87" s="420">
        <v>874674</v>
      </c>
      <c r="Z87" s="420">
        <v>1207677</v>
      </c>
      <c r="AA87" s="426"/>
      <c r="AB87" s="420">
        <v>883170</v>
      </c>
      <c r="AC87" s="420">
        <v>1105217</v>
      </c>
      <c r="AD87" s="420">
        <v>951463</v>
      </c>
      <c r="AE87" s="420">
        <v>885659</v>
      </c>
      <c r="AF87" s="426"/>
      <c r="AG87" s="420">
        <v>1070851</v>
      </c>
      <c r="AH87" s="420">
        <v>1278284</v>
      </c>
      <c r="AI87" s="420">
        <v>1188553</v>
      </c>
      <c r="AJ87" s="420">
        <v>1244680</v>
      </c>
      <c r="AK87" s="206"/>
      <c r="AL87" s="224"/>
      <c r="AM87" s="224"/>
      <c r="AN87" s="222"/>
    </row>
    <row r="88" spans="1:40" s="1" customFormat="1" ht="15" customHeight="1" collapsed="1" x14ac:dyDescent="0.25">
      <c r="A88" s="83" t="str">
        <f>IF(Contents!$A$1=2,"Long-term debt","Долгосрочная задолженность по кредитам и займам")</f>
        <v>Долгосрочная задолженность по кредитам и займам</v>
      </c>
      <c r="B88" s="248" t="str">
        <f>IF(Contents!$A$1=2,"mln RUB","млн руб.")</f>
        <v>млн руб.</v>
      </c>
      <c r="C88" s="84"/>
      <c r="D88" s="429">
        <v>634847</v>
      </c>
      <c r="E88" s="418"/>
      <c r="F88" s="429">
        <v>799207</v>
      </c>
      <c r="G88" s="418"/>
      <c r="H88" s="429">
        <v>807057</v>
      </c>
      <c r="I88" s="429">
        <v>732582</v>
      </c>
      <c r="J88" s="429">
        <v>714397</v>
      </c>
      <c r="K88" s="429">
        <v>640161</v>
      </c>
      <c r="L88" s="430"/>
      <c r="M88" s="429">
        <v>601635</v>
      </c>
      <c r="N88" s="429">
        <v>532743</v>
      </c>
      <c r="O88" s="429">
        <v>522045</v>
      </c>
      <c r="P88" s="429">
        <v>487647</v>
      </c>
      <c r="Q88" s="430"/>
      <c r="R88" s="429">
        <v>481240</v>
      </c>
      <c r="S88" s="429">
        <v>485982</v>
      </c>
      <c r="T88" s="429">
        <v>513469</v>
      </c>
      <c r="U88" s="429">
        <v>435422</v>
      </c>
      <c r="V88" s="430"/>
      <c r="W88" s="429">
        <v>530925</v>
      </c>
      <c r="X88" s="429">
        <v>506910</v>
      </c>
      <c r="Y88" s="429">
        <v>507830</v>
      </c>
      <c r="Z88" s="429">
        <v>422932</v>
      </c>
      <c r="AA88" s="430"/>
      <c r="AB88" s="429">
        <v>516816</v>
      </c>
      <c r="AC88" s="429">
        <v>562347</v>
      </c>
      <c r="AD88" s="429">
        <v>628144</v>
      </c>
      <c r="AE88" s="429">
        <v>577075</v>
      </c>
      <c r="AF88" s="430"/>
      <c r="AG88" s="429">
        <v>583973</v>
      </c>
      <c r="AH88" s="429">
        <v>517910</v>
      </c>
      <c r="AI88" s="429">
        <v>537885</v>
      </c>
      <c r="AJ88" s="429">
        <v>677699</v>
      </c>
      <c r="AK88" s="206"/>
      <c r="AL88" s="224"/>
      <c r="AM88" s="224"/>
      <c r="AN88" s="222"/>
    </row>
    <row r="89" spans="1:40" s="162" customFormat="1" ht="15" hidden="1" customHeight="1" outlineLevel="1" x14ac:dyDescent="0.25">
      <c r="A89" s="165" t="str">
        <f>IF(Contents!$A$1=2,"Long-term loans and borrowings from third parties","Долгосрочные кредиты и займы от сторонних организаций")</f>
        <v>Долгосрочные кредиты и займы от сторонних организаций</v>
      </c>
      <c r="B89" s="255" t="str">
        <f>IF(Contents!$A$1=2,"mln RUB","млн руб.")</f>
        <v>млн руб.</v>
      </c>
      <c r="C89" s="164"/>
      <c r="D89" s="427">
        <v>330198</v>
      </c>
      <c r="E89" s="427"/>
      <c r="F89" s="427">
        <v>408781</v>
      </c>
      <c r="G89" s="427"/>
      <c r="H89" s="427">
        <v>458779</v>
      </c>
      <c r="I89" s="427">
        <v>436448</v>
      </c>
      <c r="J89" s="427">
        <v>430559</v>
      </c>
      <c r="K89" s="427">
        <v>277404</v>
      </c>
      <c r="L89" s="428"/>
      <c r="M89" s="427">
        <v>264442</v>
      </c>
      <c r="N89" s="427">
        <v>270850</v>
      </c>
      <c r="O89" s="427">
        <v>267616</v>
      </c>
      <c r="P89" s="427">
        <v>244000</v>
      </c>
      <c r="Q89" s="428"/>
      <c r="R89" s="427">
        <v>242155</v>
      </c>
      <c r="S89" s="427">
        <v>212181</v>
      </c>
      <c r="T89" s="427">
        <v>210234</v>
      </c>
      <c r="U89" s="427">
        <v>161314</v>
      </c>
      <c r="V89" s="428"/>
      <c r="W89" s="427">
        <v>146945</v>
      </c>
      <c r="X89" s="427">
        <v>136570</v>
      </c>
      <c r="Y89" s="427">
        <v>135690</v>
      </c>
      <c r="Z89" s="427">
        <v>117864</v>
      </c>
      <c r="AA89" s="428"/>
      <c r="AB89" s="427">
        <v>144329</v>
      </c>
      <c r="AC89" s="427">
        <v>119517</v>
      </c>
      <c r="AD89" s="427">
        <v>132919</v>
      </c>
      <c r="AE89" s="427">
        <v>112660</v>
      </c>
      <c r="AF89" s="428"/>
      <c r="AG89" s="427">
        <v>101105</v>
      </c>
      <c r="AH89" s="427">
        <v>88611</v>
      </c>
      <c r="AI89" s="427">
        <v>110124</v>
      </c>
      <c r="AJ89" s="427">
        <v>58728</v>
      </c>
      <c r="AL89" s="224"/>
      <c r="AM89" s="224"/>
      <c r="AN89" s="222"/>
    </row>
    <row r="90" spans="1:40" s="162" customFormat="1" ht="15" hidden="1" customHeight="1" outlineLevel="1" x14ac:dyDescent="0.25">
      <c r="A90" s="165" t="str">
        <f>IF(Contents!$A$1=2,"Long-term borrowings from related parties","Долгосрочные займы от связанных сторон")</f>
        <v>Долгосрочные займы от связанных сторон</v>
      </c>
      <c r="B90" s="255" t="str">
        <f>IF(Contents!$A$1=2,"mln RUB","млн руб.")</f>
        <v>млн руб.</v>
      </c>
      <c r="C90" s="164"/>
      <c r="D90" s="427">
        <v>21</v>
      </c>
      <c r="E90" s="427"/>
      <c r="F90" s="427">
        <v>138</v>
      </c>
      <c r="G90" s="427"/>
      <c r="H90" s="427">
        <v>94</v>
      </c>
      <c r="I90" s="427">
        <v>0</v>
      </c>
      <c r="J90" s="427">
        <v>0</v>
      </c>
      <c r="K90" s="427">
        <v>0</v>
      </c>
      <c r="L90" s="428"/>
      <c r="M90" s="427">
        <v>0</v>
      </c>
      <c r="N90" s="427">
        <v>0</v>
      </c>
      <c r="O90" s="427">
        <v>0</v>
      </c>
      <c r="P90" s="427">
        <v>0</v>
      </c>
      <c r="Q90" s="428"/>
      <c r="R90" s="427">
        <v>0</v>
      </c>
      <c r="S90" s="427">
        <v>0</v>
      </c>
      <c r="T90" s="427">
        <v>0</v>
      </c>
      <c r="U90" s="427">
        <v>0</v>
      </c>
      <c r="V90" s="428"/>
      <c r="W90" s="427">
        <v>0</v>
      </c>
      <c r="X90" s="427">
        <v>0</v>
      </c>
      <c r="Y90" s="427">
        <v>0</v>
      </c>
      <c r="Z90" s="427">
        <v>0</v>
      </c>
      <c r="AA90" s="428"/>
      <c r="AB90" s="427">
        <v>0</v>
      </c>
      <c r="AC90" s="427">
        <v>0</v>
      </c>
      <c r="AD90" s="427">
        <v>0</v>
      </c>
      <c r="AE90" s="427">
        <v>0</v>
      </c>
      <c r="AF90" s="428"/>
      <c r="AG90" s="427">
        <v>0</v>
      </c>
      <c r="AH90" s="427">
        <v>0</v>
      </c>
      <c r="AI90" s="427">
        <v>0</v>
      </c>
      <c r="AJ90" s="427">
        <v>0</v>
      </c>
      <c r="AL90" s="224"/>
      <c r="AM90" s="224"/>
      <c r="AN90" s="225"/>
    </row>
    <row r="91" spans="1:40" s="162" customFormat="1" ht="15" hidden="1" customHeight="1" outlineLevel="1" x14ac:dyDescent="0.25">
      <c r="A91" s="165" t="str">
        <f>IF(Contents!$A$1=2,"2.625% convertible US dollar bonds, maturing 2015","Конвертируемые облигации в долларах США со ставкой 2,625% и сроком погашения в 2015 г.")</f>
        <v>Конвертируемые облигации в долларах США со ставкой 2,625% и сроком погашения в 2015 г.</v>
      </c>
      <c r="B91" s="255" t="str">
        <f>IF(Contents!$A$1=2,"mln RUB","млн руб.")</f>
        <v>млн руб.</v>
      </c>
      <c r="C91" s="164"/>
      <c r="D91" s="427">
        <v>83720</v>
      </c>
      <c r="E91" s="427"/>
      <c r="F91" s="427">
        <v>0</v>
      </c>
      <c r="G91" s="427"/>
      <c r="H91" s="427">
        <v>0</v>
      </c>
      <c r="I91" s="427">
        <v>0</v>
      </c>
      <c r="J91" s="427">
        <v>0</v>
      </c>
      <c r="K91" s="427">
        <v>0</v>
      </c>
      <c r="L91" s="428"/>
      <c r="M91" s="427">
        <v>0</v>
      </c>
      <c r="N91" s="427">
        <v>0</v>
      </c>
      <c r="O91" s="427">
        <v>0</v>
      </c>
      <c r="P91" s="427">
        <v>0</v>
      </c>
      <c r="Q91" s="428"/>
      <c r="R91" s="427">
        <v>0</v>
      </c>
      <c r="S91" s="427">
        <v>0</v>
      </c>
      <c r="T91" s="427">
        <v>0</v>
      </c>
      <c r="U91" s="427">
        <v>0</v>
      </c>
      <c r="V91" s="428"/>
      <c r="W91" s="427">
        <v>0</v>
      </c>
      <c r="X91" s="427">
        <v>0</v>
      </c>
      <c r="Y91" s="427">
        <v>0</v>
      </c>
      <c r="Z91" s="427">
        <v>0</v>
      </c>
      <c r="AA91" s="428"/>
      <c r="AB91" s="427">
        <v>0</v>
      </c>
      <c r="AC91" s="427">
        <v>0</v>
      </c>
      <c r="AD91" s="427">
        <v>0</v>
      </c>
      <c r="AE91" s="427">
        <v>0</v>
      </c>
      <c r="AF91" s="428"/>
      <c r="AG91" s="427">
        <v>0</v>
      </c>
      <c r="AH91" s="427">
        <v>0</v>
      </c>
      <c r="AI91" s="427">
        <v>0</v>
      </c>
      <c r="AJ91" s="427">
        <v>0</v>
      </c>
      <c r="AL91" s="224"/>
      <c r="AM91" s="224"/>
      <c r="AN91" s="225"/>
    </row>
    <row r="92" spans="1:40" s="162" customFormat="1" ht="15" hidden="1" customHeight="1" outlineLevel="1" x14ac:dyDescent="0.25">
      <c r="A92" s="165" t="str">
        <f>IF(Contents!$A$1=2,"6.356% non-convertible US dollar bonds, maturing 2017","Неконвертируемые облигации в долларах США со ставкой 6,356% и сроком погашения в 2017 г.")</f>
        <v>Неконвертируемые облигации в долларах США со ставкой 6,356% и сроком погашения в 2017 г.</v>
      </c>
      <c r="B92" s="255" t="str">
        <f>IF(Contents!$A$1=2,"mln RUB","млн руб.")</f>
        <v>млн руб.</v>
      </c>
      <c r="C92" s="164" t="s">
        <v>3</v>
      </c>
      <c r="D92" s="427">
        <v>28129</v>
      </c>
      <c r="E92" s="427"/>
      <c r="F92" s="427">
        <v>36441</v>
      </c>
      <c r="G92" s="427"/>
      <c r="H92" s="427">
        <v>33804</v>
      </c>
      <c r="I92" s="427">
        <v>32129</v>
      </c>
      <c r="J92" s="427">
        <v>31579</v>
      </c>
      <c r="K92" s="427">
        <v>30328</v>
      </c>
      <c r="L92" s="428"/>
      <c r="M92" s="427">
        <v>28189</v>
      </c>
      <c r="N92" s="427">
        <v>0</v>
      </c>
      <c r="O92" s="427">
        <v>0</v>
      </c>
      <c r="P92" s="427">
        <v>0</v>
      </c>
      <c r="Q92" s="428"/>
      <c r="R92" s="427">
        <v>0</v>
      </c>
      <c r="S92" s="427">
        <v>0</v>
      </c>
      <c r="T92" s="427">
        <v>0</v>
      </c>
      <c r="U92" s="427">
        <v>0</v>
      </c>
      <c r="V92" s="428"/>
      <c r="W92" s="427">
        <v>0</v>
      </c>
      <c r="X92" s="427">
        <v>0</v>
      </c>
      <c r="Y92" s="427">
        <v>0</v>
      </c>
      <c r="Z92" s="427">
        <v>0</v>
      </c>
      <c r="AA92" s="428"/>
      <c r="AB92" s="427">
        <v>0</v>
      </c>
      <c r="AC92" s="427">
        <v>0</v>
      </c>
      <c r="AD92" s="427">
        <v>0</v>
      </c>
      <c r="AE92" s="427">
        <v>0</v>
      </c>
      <c r="AF92" s="428"/>
      <c r="AG92" s="427">
        <v>0</v>
      </c>
      <c r="AH92" s="427">
        <v>0</v>
      </c>
      <c r="AI92" s="427">
        <v>0</v>
      </c>
      <c r="AJ92" s="427">
        <v>0</v>
      </c>
      <c r="AL92" s="224"/>
      <c r="AM92" s="224"/>
      <c r="AN92" s="225"/>
    </row>
    <row r="93" spans="1:40" s="162" customFormat="1" ht="15" hidden="1" customHeight="1" outlineLevel="1" x14ac:dyDescent="0.25">
      <c r="A93" s="165" t="str">
        <f>IF(Contents!$A$1=2,"3.416% non-convertible US dollar bonds, maturing 2018","Неконвертируемые облигации в долларах США со ставкой 3,416% и сроком погашения в 2018 г.")</f>
        <v>Неконвертируемые облигации в долларах США со ставкой 3,416% и сроком погашения в 2018 г.</v>
      </c>
      <c r="B93" s="255" t="str">
        <f>IF(Contents!$A$1=2,"mln RUB","млн руб.")</f>
        <v>млн руб.</v>
      </c>
      <c r="C93" s="164" t="s">
        <v>3</v>
      </c>
      <c r="D93" s="427">
        <v>84030</v>
      </c>
      <c r="E93" s="427"/>
      <c r="F93" s="427">
        <v>108983</v>
      </c>
      <c r="G93" s="427"/>
      <c r="H93" s="427">
        <v>101115</v>
      </c>
      <c r="I93" s="427">
        <v>96124</v>
      </c>
      <c r="J93" s="427">
        <v>94498</v>
      </c>
      <c r="K93" s="427">
        <v>90689</v>
      </c>
      <c r="L93" s="428"/>
      <c r="M93" s="427">
        <v>84309</v>
      </c>
      <c r="N93" s="427">
        <v>88588</v>
      </c>
      <c r="O93" s="427">
        <v>87007</v>
      </c>
      <c r="P93" s="427">
        <v>86384</v>
      </c>
      <c r="Q93" s="428"/>
      <c r="R93" s="427">
        <v>85893</v>
      </c>
      <c r="S93" s="427">
        <v>0</v>
      </c>
      <c r="T93" s="427">
        <v>0</v>
      </c>
      <c r="U93" s="427">
        <v>0</v>
      </c>
      <c r="V93" s="428"/>
      <c r="W93" s="427">
        <v>0</v>
      </c>
      <c r="X93" s="427">
        <v>0</v>
      </c>
      <c r="Y93" s="427">
        <v>0</v>
      </c>
      <c r="Z93" s="427">
        <v>0</v>
      </c>
      <c r="AA93" s="428"/>
      <c r="AB93" s="427">
        <v>0</v>
      </c>
      <c r="AC93" s="427">
        <v>0</v>
      </c>
      <c r="AD93" s="427">
        <v>0</v>
      </c>
      <c r="AE93" s="427">
        <v>0</v>
      </c>
      <c r="AF93" s="428"/>
      <c r="AG93" s="427">
        <v>0</v>
      </c>
      <c r="AH93" s="427">
        <v>0</v>
      </c>
      <c r="AI93" s="427">
        <v>0</v>
      </c>
      <c r="AJ93" s="427">
        <v>0</v>
      </c>
      <c r="AL93" s="224"/>
      <c r="AM93" s="224"/>
      <c r="AN93" s="225"/>
    </row>
    <row r="94" spans="1:40" s="162" customFormat="1" ht="15" hidden="1" customHeight="1" outlineLevel="1" x14ac:dyDescent="0.25">
      <c r="A94" s="165" t="str">
        <f>IF(Contents!$A$1=2,"7.250% non-convertible US dollar bonds, maturing 2019","Неконвертируемые облигации в долларах США со ставкой 7,250% и сроком погашения в 2019 г.")</f>
        <v>Неконвертируемые облигации в долларах США со ставкой 7,250% и сроком погашения в 2019 г.</v>
      </c>
      <c r="B94" s="255" t="str">
        <f>IF(Contents!$A$1=2,"mln RUB","млн руб.")</f>
        <v>млн руб.</v>
      </c>
      <c r="C94" s="164" t="s">
        <v>3</v>
      </c>
      <c r="D94" s="427">
        <v>33612</v>
      </c>
      <c r="E94" s="427"/>
      <c r="F94" s="427">
        <v>43583</v>
      </c>
      <c r="G94" s="427"/>
      <c r="H94" s="427">
        <v>40437</v>
      </c>
      <c r="I94" s="427">
        <v>38442</v>
      </c>
      <c r="J94" s="427">
        <v>37792</v>
      </c>
      <c r="K94" s="427">
        <v>36304</v>
      </c>
      <c r="L94" s="428"/>
      <c r="M94" s="427">
        <v>33750</v>
      </c>
      <c r="N94" s="427">
        <v>35373</v>
      </c>
      <c r="O94" s="427">
        <v>34703</v>
      </c>
      <c r="P94" s="427">
        <v>34466</v>
      </c>
      <c r="Q94" s="428"/>
      <c r="R94" s="427">
        <v>34278</v>
      </c>
      <c r="S94" s="427">
        <v>37525</v>
      </c>
      <c r="T94" s="427">
        <v>39241</v>
      </c>
      <c r="U94" s="427">
        <v>41584</v>
      </c>
      <c r="V94" s="428"/>
      <c r="W94" s="427">
        <v>38772</v>
      </c>
      <c r="X94" s="427">
        <v>37800</v>
      </c>
      <c r="Y94" s="427">
        <v>38625</v>
      </c>
      <c r="Z94" s="427">
        <v>0</v>
      </c>
      <c r="AA94" s="428"/>
      <c r="AB94" s="427">
        <v>0</v>
      </c>
      <c r="AC94" s="427">
        <v>0</v>
      </c>
      <c r="AD94" s="427">
        <v>0</v>
      </c>
      <c r="AE94" s="427">
        <v>0</v>
      </c>
      <c r="AF94" s="428"/>
      <c r="AG94" s="427">
        <v>0</v>
      </c>
      <c r="AH94" s="427">
        <v>0</v>
      </c>
      <c r="AI94" s="427">
        <v>0</v>
      </c>
      <c r="AJ94" s="427">
        <v>0</v>
      </c>
      <c r="AL94" s="224"/>
      <c r="AM94" s="224"/>
      <c r="AN94" s="225"/>
    </row>
    <row r="95" spans="1:40" s="162" customFormat="1" ht="15" hidden="1" customHeight="1" outlineLevel="1" x14ac:dyDescent="0.25">
      <c r="A95" s="165" t="str">
        <f>IF(Contents!$A$1=2,"6.125% non-convertible US dollar bonds, maturing 2020","Неконвертируемые облигации в долларах США со ставкой 6,125% и сроком погашения в 2020 г.")</f>
        <v>Неконвертируемые облигации в долларах США со ставкой 6,125% и сроком погашения в 2020 г.</v>
      </c>
      <c r="B95" s="255" t="str">
        <f>IF(Contents!$A$1=2,"mln RUB","млн руб.")</f>
        <v>млн руб.</v>
      </c>
      <c r="C95" s="164" t="s">
        <v>3</v>
      </c>
      <c r="D95" s="427">
        <v>56165</v>
      </c>
      <c r="E95" s="427"/>
      <c r="F95" s="427">
        <v>72778</v>
      </c>
      <c r="G95" s="427"/>
      <c r="H95" s="427">
        <v>67515</v>
      </c>
      <c r="I95" s="427">
        <v>64173</v>
      </c>
      <c r="J95" s="427">
        <v>63079</v>
      </c>
      <c r="K95" s="427">
        <v>60585</v>
      </c>
      <c r="L95" s="428"/>
      <c r="M95" s="427">
        <v>56315</v>
      </c>
      <c r="N95" s="427">
        <v>58973</v>
      </c>
      <c r="O95" s="427">
        <v>57917</v>
      </c>
      <c r="P95" s="427">
        <v>57506</v>
      </c>
      <c r="Q95" s="428"/>
      <c r="R95" s="427">
        <v>57179</v>
      </c>
      <c r="S95" s="427">
        <v>62661</v>
      </c>
      <c r="T95" s="427">
        <v>65500</v>
      </c>
      <c r="U95" s="427">
        <v>69385</v>
      </c>
      <c r="V95" s="428"/>
      <c r="W95" s="427">
        <v>64664</v>
      </c>
      <c r="X95" s="427">
        <v>63017</v>
      </c>
      <c r="Y95" s="427">
        <v>64365</v>
      </c>
      <c r="Z95" s="427">
        <v>61866</v>
      </c>
      <c r="AA95" s="428"/>
      <c r="AB95" s="427">
        <v>77697</v>
      </c>
      <c r="AC95" s="427">
        <v>69932</v>
      </c>
      <c r="AD95" s="427">
        <v>79678</v>
      </c>
      <c r="AE95" s="427">
        <v>0</v>
      </c>
      <c r="AF95" s="428"/>
      <c r="AG95" s="427">
        <v>0</v>
      </c>
      <c r="AH95" s="427">
        <v>0</v>
      </c>
      <c r="AI95" s="427">
        <v>0</v>
      </c>
      <c r="AJ95" s="427">
        <v>0</v>
      </c>
      <c r="AL95" s="224"/>
      <c r="AM95" s="224"/>
      <c r="AN95" s="225"/>
    </row>
    <row r="96" spans="1:40" s="162" customFormat="1" ht="15" hidden="1" customHeight="1" outlineLevel="1" x14ac:dyDescent="0.25">
      <c r="A96" s="165" t="str">
        <f>IF(Contents!$A$1=2,"6.656% non-convertible US dollar bonds, maturing 2022","Неконвертируемые облигации в долларах США со ставкой 6,656% и сроком погашения в 2022 г.")</f>
        <v>Неконвертируемые облигации в долларах США со ставкой 6,656% и сроком погашения в 2022 г.</v>
      </c>
      <c r="B96" s="255" t="str">
        <f>IF(Contents!$A$1=2,"mln RUB","млн руб.")</f>
        <v>млн руб.</v>
      </c>
      <c r="C96" s="164" t="s">
        <v>3</v>
      </c>
      <c r="D96" s="427">
        <v>28129</v>
      </c>
      <c r="E96" s="427"/>
      <c r="F96" s="427">
        <v>36441</v>
      </c>
      <c r="G96" s="427"/>
      <c r="H96" s="427">
        <v>33804</v>
      </c>
      <c r="I96" s="427">
        <v>32129</v>
      </c>
      <c r="J96" s="427">
        <v>31579</v>
      </c>
      <c r="K96" s="427">
        <v>30328</v>
      </c>
      <c r="L96" s="428"/>
      <c r="M96" s="427">
        <v>28189</v>
      </c>
      <c r="N96" s="427">
        <v>29483</v>
      </c>
      <c r="O96" s="427">
        <v>28956</v>
      </c>
      <c r="P96" s="427">
        <v>28748</v>
      </c>
      <c r="Q96" s="428"/>
      <c r="R96" s="427">
        <v>28583</v>
      </c>
      <c r="S96" s="427">
        <v>31306</v>
      </c>
      <c r="T96" s="427">
        <v>32723</v>
      </c>
      <c r="U96" s="427">
        <v>34663</v>
      </c>
      <c r="V96" s="428"/>
      <c r="W96" s="427">
        <v>32304</v>
      </c>
      <c r="X96" s="427">
        <v>31481</v>
      </c>
      <c r="Y96" s="427">
        <v>32154</v>
      </c>
      <c r="Z96" s="427">
        <v>30905</v>
      </c>
      <c r="AA96" s="428"/>
      <c r="AB96" s="427">
        <v>38811</v>
      </c>
      <c r="AC96" s="427">
        <v>34931</v>
      </c>
      <c r="AD96" s="427">
        <v>39797</v>
      </c>
      <c r="AE96" s="427">
        <v>36901</v>
      </c>
      <c r="AF96" s="428"/>
      <c r="AG96" s="427">
        <v>37819</v>
      </c>
      <c r="AH96" s="427">
        <v>36160</v>
      </c>
      <c r="AI96" s="427">
        <v>36360</v>
      </c>
      <c r="AJ96" s="427">
        <v>37131</v>
      </c>
      <c r="AL96" s="224"/>
      <c r="AM96" s="224"/>
      <c r="AN96" s="225"/>
    </row>
    <row r="97" spans="1:40" s="162" customFormat="1" ht="15" hidden="1" customHeight="1" outlineLevel="1" x14ac:dyDescent="0.25">
      <c r="A97" s="165" t="str">
        <f>IF(Contents!$A$1=2,"4.563% non-convertible US dollar bonds, maturing 2023","Неконвертируемые облигации в долларах США со ставкой 4,563% и сроком погашения в 2023 г.")</f>
        <v>Неконвертируемые облигации в долларах США со ставкой 4,563% и сроком погашения в 2023 г.</v>
      </c>
      <c r="B97" s="255" t="str">
        <f>IF(Contents!$A$1=2,"mln RUB","млн руб.")</f>
        <v>млн руб.</v>
      </c>
      <c r="C97" s="164" t="s">
        <v>3</v>
      </c>
      <c r="D97" s="427">
        <v>84030</v>
      </c>
      <c r="E97" s="427"/>
      <c r="F97" s="427">
        <v>108983</v>
      </c>
      <c r="G97" s="427"/>
      <c r="H97" s="427">
        <v>101115</v>
      </c>
      <c r="I97" s="427">
        <v>96124</v>
      </c>
      <c r="J97" s="427">
        <v>94498</v>
      </c>
      <c r="K97" s="427">
        <v>90689</v>
      </c>
      <c r="L97" s="428"/>
      <c r="M97" s="427">
        <v>84309</v>
      </c>
      <c r="N97" s="427">
        <v>88443</v>
      </c>
      <c r="O97" s="427">
        <v>86882</v>
      </c>
      <c r="P97" s="427">
        <v>86274</v>
      </c>
      <c r="Q97" s="428"/>
      <c r="R97" s="427">
        <v>85780</v>
      </c>
      <c r="S97" s="427">
        <v>94009</v>
      </c>
      <c r="T97" s="427">
        <v>98261</v>
      </c>
      <c r="U97" s="427">
        <v>104079</v>
      </c>
      <c r="V97" s="428"/>
      <c r="W97" s="427">
        <v>96990</v>
      </c>
      <c r="X97" s="427">
        <v>94511</v>
      </c>
      <c r="Y97" s="427">
        <v>96525</v>
      </c>
      <c r="Z97" s="427">
        <v>92769</v>
      </c>
      <c r="AA97" s="428"/>
      <c r="AB97" s="427">
        <v>116495</v>
      </c>
      <c r="AC97" s="427">
        <v>104840</v>
      </c>
      <c r="AD97" s="427">
        <v>119436</v>
      </c>
      <c r="AE97" s="427">
        <v>110737</v>
      </c>
      <c r="AF97" s="428"/>
      <c r="AG97" s="427">
        <v>113482</v>
      </c>
      <c r="AH97" s="427">
        <v>108498</v>
      </c>
      <c r="AI97" s="427">
        <v>109079</v>
      </c>
      <c r="AJ97" s="427">
        <v>111393</v>
      </c>
      <c r="AL97" s="224"/>
      <c r="AM97" s="224"/>
      <c r="AN97" s="225"/>
    </row>
    <row r="98" spans="1:40" s="162" customFormat="1" ht="15" hidden="1" customHeight="1" outlineLevel="1" x14ac:dyDescent="0.25">
      <c r="A98" s="165" t="str">
        <f>IF(Contents!$A$1=2,"4.750% non-convertible US dollar bonds, maturing 2026","Неконвертируемые облигации в долларах США со ставкой 4,750% и сроком погашения в 2026 г.")</f>
        <v>Неконвертируемые облигации в долларах США со ставкой 4,750% и сроком погашения в 2026 г.</v>
      </c>
      <c r="B98" s="255" t="str">
        <f>IF(Contents!$A$1=2,"mln RUB","млн руб.")</f>
        <v>млн руб.</v>
      </c>
      <c r="C98" s="164" t="s">
        <v>3</v>
      </c>
      <c r="D98" s="427">
        <v>0</v>
      </c>
      <c r="E98" s="427"/>
      <c r="F98" s="427">
        <v>0</v>
      </c>
      <c r="G98" s="427"/>
      <c r="H98" s="427">
        <v>0</v>
      </c>
      <c r="I98" s="427">
        <v>0</v>
      </c>
      <c r="J98" s="427">
        <v>0</v>
      </c>
      <c r="K98" s="427">
        <v>60657</v>
      </c>
      <c r="L98" s="428"/>
      <c r="M98" s="427">
        <v>56378</v>
      </c>
      <c r="N98" s="427">
        <v>58925</v>
      </c>
      <c r="O98" s="427">
        <v>57864</v>
      </c>
      <c r="P98" s="427">
        <v>57467</v>
      </c>
      <c r="Q98" s="428"/>
      <c r="R98" s="427">
        <v>57134</v>
      </c>
      <c r="S98" s="427">
        <v>62614</v>
      </c>
      <c r="T98" s="427">
        <v>65445</v>
      </c>
      <c r="U98" s="427">
        <v>69321</v>
      </c>
      <c r="V98" s="428"/>
      <c r="W98" s="427">
        <v>64599</v>
      </c>
      <c r="X98" s="427">
        <v>62947</v>
      </c>
      <c r="Y98" s="427">
        <v>64288</v>
      </c>
      <c r="Z98" s="427">
        <v>61786</v>
      </c>
      <c r="AA98" s="428"/>
      <c r="AB98" s="427">
        <v>77587</v>
      </c>
      <c r="AC98" s="427">
        <v>69825</v>
      </c>
      <c r="AD98" s="427">
        <v>79545</v>
      </c>
      <c r="AE98" s="427">
        <v>73751</v>
      </c>
      <c r="AF98" s="428"/>
      <c r="AG98" s="427">
        <v>75579</v>
      </c>
      <c r="AH98" s="427">
        <v>72259</v>
      </c>
      <c r="AI98" s="427">
        <v>72661</v>
      </c>
      <c r="AJ98" s="427">
        <v>74186</v>
      </c>
      <c r="AL98" s="224"/>
      <c r="AM98" s="224"/>
      <c r="AN98" s="225"/>
    </row>
    <row r="99" spans="1:40" s="162" customFormat="1" ht="15" hidden="1" customHeight="1" outlineLevel="1" x14ac:dyDescent="0.25">
      <c r="A99" s="165" t="str">
        <f>IF(Contents!$A$1=2,"2.80% non-convertible US dollar bonds, maturing 2027","Неконвертируемые облигации в долларах США со ставкой 2,80% и сроком погашения в 2027 г.")</f>
        <v>Неконвертируемые облигации в долларах США со ставкой 2,80% и сроком погашения в 2027 г.</v>
      </c>
      <c r="B99" s="255" t="str">
        <f>IF(Contents!$A$1=2,"mln RUB","млн руб.")</f>
        <v>млн руб.</v>
      </c>
      <c r="C99" s="164"/>
      <c r="D99" s="427">
        <v>0</v>
      </c>
      <c r="E99" s="427"/>
      <c r="F99" s="427">
        <v>0</v>
      </c>
      <c r="G99" s="427"/>
      <c r="H99" s="427">
        <v>0</v>
      </c>
      <c r="I99" s="427">
        <v>0</v>
      </c>
      <c r="J99" s="427">
        <v>0</v>
      </c>
      <c r="K99" s="427">
        <v>0</v>
      </c>
      <c r="L99" s="428"/>
      <c r="M99" s="427">
        <v>0</v>
      </c>
      <c r="N99" s="427">
        <v>0</v>
      </c>
      <c r="O99" s="427">
        <v>0</v>
      </c>
      <c r="P99" s="427">
        <v>0</v>
      </c>
      <c r="Q99" s="428"/>
      <c r="R99" s="427">
        <v>0</v>
      </c>
      <c r="S99" s="427">
        <v>0</v>
      </c>
      <c r="T99" s="427">
        <v>0</v>
      </c>
      <c r="U99" s="427">
        <v>0</v>
      </c>
      <c r="V99" s="428"/>
      <c r="W99" s="427">
        <v>0</v>
      </c>
      <c r="X99" s="427">
        <v>0</v>
      </c>
      <c r="Y99" s="427">
        <v>0</v>
      </c>
      <c r="Z99" s="427">
        <v>0</v>
      </c>
      <c r="AA99" s="428"/>
      <c r="AB99" s="427">
        <v>0</v>
      </c>
      <c r="AC99" s="427">
        <v>0</v>
      </c>
      <c r="AD99" s="427">
        <v>0</v>
      </c>
      <c r="AE99" s="427">
        <v>0</v>
      </c>
      <c r="AF99" s="428"/>
      <c r="AG99" s="427">
        <v>0</v>
      </c>
      <c r="AH99" s="427">
        <v>0</v>
      </c>
      <c r="AI99" s="427">
        <v>0</v>
      </c>
      <c r="AJ99" s="427">
        <v>85299</v>
      </c>
      <c r="AL99" s="224"/>
      <c r="AM99" s="224"/>
      <c r="AN99" s="225"/>
    </row>
    <row r="100" spans="1:40" s="162" customFormat="1" ht="15" hidden="1" customHeight="1" outlineLevel="1" x14ac:dyDescent="0.25">
      <c r="A100" s="165" t="str">
        <f>IF(Contents!$A$1=2,"3.875% non-convertible US dollar bonds, maturing 2030","Неконвертируемые облигации в долларах США со ставкой 3,875% и сроком погашения в 2030 г.")</f>
        <v>Неконвертируемые облигации в долларах США со ставкой 3,875% и сроком погашения в 2030 г.</v>
      </c>
      <c r="B100" s="255" t="str">
        <f>IF(Contents!$A$1=2,"mln RUB","млн руб.")</f>
        <v>млн руб.</v>
      </c>
      <c r="C100" s="164"/>
      <c r="D100" s="427">
        <v>0</v>
      </c>
      <c r="E100" s="427"/>
      <c r="F100" s="427">
        <v>0</v>
      </c>
      <c r="G100" s="427"/>
      <c r="H100" s="427">
        <v>0</v>
      </c>
      <c r="I100" s="427">
        <v>0</v>
      </c>
      <c r="J100" s="427">
        <v>0</v>
      </c>
      <c r="K100" s="427">
        <v>0</v>
      </c>
      <c r="L100" s="428"/>
      <c r="M100" s="427">
        <v>0</v>
      </c>
      <c r="N100" s="427">
        <v>0</v>
      </c>
      <c r="O100" s="427">
        <v>0</v>
      </c>
      <c r="P100" s="427">
        <v>0</v>
      </c>
      <c r="Q100" s="428"/>
      <c r="R100" s="427">
        <v>0</v>
      </c>
      <c r="S100" s="427">
        <v>0</v>
      </c>
      <c r="T100" s="427">
        <v>0</v>
      </c>
      <c r="U100" s="427">
        <v>0</v>
      </c>
      <c r="V100" s="428"/>
      <c r="W100" s="427">
        <v>0</v>
      </c>
      <c r="X100" s="427">
        <v>0</v>
      </c>
      <c r="Y100" s="427">
        <v>0</v>
      </c>
      <c r="Z100" s="427">
        <v>0</v>
      </c>
      <c r="AA100" s="428"/>
      <c r="AB100" s="427">
        <v>0</v>
      </c>
      <c r="AC100" s="427">
        <v>104648</v>
      </c>
      <c r="AD100" s="427">
        <v>119216</v>
      </c>
      <c r="AE100" s="427">
        <v>110532</v>
      </c>
      <c r="AF100" s="428"/>
      <c r="AG100" s="427">
        <v>113271</v>
      </c>
      <c r="AH100" s="427">
        <v>108295</v>
      </c>
      <c r="AI100" s="427">
        <v>108882</v>
      </c>
      <c r="AJ100" s="427">
        <v>111181</v>
      </c>
      <c r="AL100" s="224"/>
      <c r="AM100" s="224"/>
      <c r="AN100" s="225"/>
    </row>
    <row r="101" spans="1:40" s="162" customFormat="1" ht="15" hidden="1" customHeight="1" outlineLevel="1" x14ac:dyDescent="0.25">
      <c r="A101" s="165" t="str">
        <f>IF(Contents!$A$1=2,"3.60% non-convertible US dollar bonds, maturing 2031","Неконвертируемые облигации в долларах США со ставкой 3,60% и сроком погашения в 2031 г.")</f>
        <v>Неконвертируемые облигации в долларах США со ставкой 3,60% и сроком погашения в 2031 г.</v>
      </c>
      <c r="B101" s="255" t="str">
        <f>IF(Contents!$A$1=2,"mln RUB","млн руб.")</f>
        <v>млн руб.</v>
      </c>
      <c r="C101" s="164"/>
      <c r="D101" s="427">
        <v>0</v>
      </c>
      <c r="E101" s="427"/>
      <c r="F101" s="427">
        <v>0</v>
      </c>
      <c r="G101" s="427"/>
      <c r="H101" s="427">
        <v>0</v>
      </c>
      <c r="I101" s="427">
        <v>0</v>
      </c>
      <c r="J101" s="427">
        <v>0</v>
      </c>
      <c r="K101" s="427">
        <v>0</v>
      </c>
      <c r="L101" s="428"/>
      <c r="M101" s="427">
        <v>0</v>
      </c>
      <c r="N101" s="427">
        <v>0</v>
      </c>
      <c r="O101" s="427">
        <v>0</v>
      </c>
      <c r="P101" s="427">
        <v>0</v>
      </c>
      <c r="Q101" s="428"/>
      <c r="R101" s="427">
        <v>0</v>
      </c>
      <c r="S101" s="427">
        <v>0</v>
      </c>
      <c r="T101" s="427">
        <v>0</v>
      </c>
      <c r="U101" s="427">
        <v>0</v>
      </c>
      <c r="V101" s="428"/>
      <c r="W101" s="427">
        <v>0</v>
      </c>
      <c r="X101" s="427">
        <v>0</v>
      </c>
      <c r="Y101" s="427">
        <v>0</v>
      </c>
      <c r="Z101" s="427">
        <v>0</v>
      </c>
      <c r="AA101" s="428"/>
      <c r="AB101" s="427">
        <v>0</v>
      </c>
      <c r="AC101" s="427">
        <v>0</v>
      </c>
      <c r="AD101" s="427">
        <v>0</v>
      </c>
      <c r="AE101" s="427">
        <v>0</v>
      </c>
      <c r="AF101" s="428"/>
      <c r="AG101" s="427">
        <v>0</v>
      </c>
      <c r="AH101" s="427">
        <v>0</v>
      </c>
      <c r="AI101" s="427">
        <v>0</v>
      </c>
      <c r="AJ101" s="427">
        <v>85297</v>
      </c>
      <c r="AL101" s="224"/>
      <c r="AM101" s="224"/>
      <c r="AN101" s="225"/>
    </row>
    <row r="102" spans="1:40" s="162" customFormat="1" ht="15" hidden="1" customHeight="1" outlineLevel="1" x14ac:dyDescent="0.25">
      <c r="A102" s="165" t="str">
        <f>IF(Contents!$A$1=2,"Lease obligations","Долгосрочные обязательства по аренде")</f>
        <v>Долгосрочные обязательства по аренде</v>
      </c>
      <c r="B102" s="255" t="str">
        <f>IF(Contents!$A$1=2,"mln RUB","млн руб.")</f>
        <v>млн руб.</v>
      </c>
      <c r="C102" s="164" t="s">
        <v>3</v>
      </c>
      <c r="D102" s="427">
        <v>5128</v>
      </c>
      <c r="E102" s="427"/>
      <c r="F102" s="427">
        <v>4365</v>
      </c>
      <c r="G102" s="427"/>
      <c r="H102" s="427">
        <v>4134</v>
      </c>
      <c r="I102" s="427">
        <v>3951</v>
      </c>
      <c r="J102" s="427">
        <v>3790</v>
      </c>
      <c r="K102" s="427">
        <v>3558</v>
      </c>
      <c r="L102" s="428"/>
      <c r="M102" s="427">
        <v>3355</v>
      </c>
      <c r="N102" s="427">
        <v>3204</v>
      </c>
      <c r="O102" s="427">
        <v>3023</v>
      </c>
      <c r="P102" s="427">
        <v>2846</v>
      </c>
      <c r="Q102" s="428"/>
      <c r="R102" s="427">
        <v>2656</v>
      </c>
      <c r="S102" s="427">
        <v>2482</v>
      </c>
      <c r="T102" s="427">
        <v>26885</v>
      </c>
      <c r="U102" s="427">
        <v>25973</v>
      </c>
      <c r="V102" s="428"/>
      <c r="W102" s="427">
        <v>182296</v>
      </c>
      <c r="X102" s="427">
        <v>175798</v>
      </c>
      <c r="Y102" s="427">
        <v>169890</v>
      </c>
      <c r="Z102" s="427">
        <v>171880</v>
      </c>
      <c r="AA102" s="428"/>
      <c r="AB102" s="427">
        <v>209475</v>
      </c>
      <c r="AC102" s="427">
        <v>196986</v>
      </c>
      <c r="AD102" s="427">
        <v>206746</v>
      </c>
      <c r="AE102" s="427">
        <v>193872</v>
      </c>
      <c r="AF102" s="428"/>
      <c r="AG102" s="427">
        <v>195793</v>
      </c>
      <c r="AH102" s="427">
        <v>189250</v>
      </c>
      <c r="AI102" s="427">
        <v>181501</v>
      </c>
      <c r="AJ102" s="427">
        <v>185843</v>
      </c>
      <c r="AL102" s="224"/>
      <c r="AM102" s="224"/>
      <c r="AN102" s="225"/>
    </row>
    <row r="103" spans="1:40" s="162" customFormat="1" ht="15" hidden="1" customHeight="1" outlineLevel="1" x14ac:dyDescent="0.25">
      <c r="A103" s="165" t="str">
        <f>IF(Contents!$A$1=2,"Current portion of long-term debt","Текущая часть долгосрочной задолженности")</f>
        <v>Текущая часть долгосрочной задолженности</v>
      </c>
      <c r="B103" s="255" t="str">
        <f>IF(Contents!$A$1=2,"mln RUB","млн руб.")</f>
        <v>млн руб.</v>
      </c>
      <c r="C103" s="164"/>
      <c r="D103" s="427">
        <v>-98315</v>
      </c>
      <c r="E103" s="427"/>
      <c r="F103" s="427">
        <v>-21286</v>
      </c>
      <c r="G103" s="427"/>
      <c r="H103" s="427">
        <v>-33740</v>
      </c>
      <c r="I103" s="427">
        <v>-66938</v>
      </c>
      <c r="J103" s="427">
        <v>-72977</v>
      </c>
      <c r="K103" s="427">
        <v>-40381</v>
      </c>
      <c r="L103" s="428"/>
      <c r="M103" s="427">
        <v>-37601</v>
      </c>
      <c r="N103" s="427">
        <v>-101096</v>
      </c>
      <c r="O103" s="427">
        <v>-101923</v>
      </c>
      <c r="P103" s="427">
        <v>-110044</v>
      </c>
      <c r="Q103" s="428"/>
      <c r="R103" s="427">
        <v>-112418</v>
      </c>
      <c r="S103" s="427">
        <v>-16796</v>
      </c>
      <c r="T103" s="427">
        <v>-24820</v>
      </c>
      <c r="U103" s="427">
        <v>-70897</v>
      </c>
      <c r="V103" s="428"/>
      <c r="W103" s="427">
        <v>-95645</v>
      </c>
      <c r="X103" s="427">
        <v>-95214</v>
      </c>
      <c r="Y103" s="427">
        <v>-93707</v>
      </c>
      <c r="Z103" s="427">
        <v>-114138</v>
      </c>
      <c r="AA103" s="428"/>
      <c r="AB103" s="427">
        <v>-147578</v>
      </c>
      <c r="AC103" s="427">
        <v>-138332</v>
      </c>
      <c r="AD103" s="427">
        <v>-149193</v>
      </c>
      <c r="AE103" s="427">
        <v>-61378</v>
      </c>
      <c r="AF103" s="428"/>
      <c r="AG103" s="427">
        <v>-53076</v>
      </c>
      <c r="AH103" s="427">
        <v>-85163</v>
      </c>
      <c r="AI103" s="427">
        <v>-80722</v>
      </c>
      <c r="AJ103" s="427">
        <v>-71359</v>
      </c>
      <c r="AL103" s="224"/>
      <c r="AM103" s="224"/>
      <c r="AN103" s="225"/>
    </row>
    <row r="104" spans="1:40" s="1" customFormat="1" ht="15" customHeight="1" x14ac:dyDescent="0.25">
      <c r="A104" s="83" t="str">
        <f>IF(Contents!$A$1=2,"Deferred income tax liabilities","Обязательства по отложенному налогу на прибыль")</f>
        <v>Обязательства по отложенному налогу на прибыль</v>
      </c>
      <c r="B104" s="248" t="str">
        <f>IF(Contents!$A$1=2,"mln RUB","млн руб.")</f>
        <v>млн руб.</v>
      </c>
      <c r="C104" s="84"/>
      <c r="D104" s="429">
        <v>227071</v>
      </c>
      <c r="E104" s="418"/>
      <c r="F104" s="429">
        <v>234107</v>
      </c>
      <c r="G104" s="418"/>
      <c r="H104" s="429">
        <v>234218</v>
      </c>
      <c r="I104" s="429">
        <v>234943</v>
      </c>
      <c r="J104" s="429">
        <v>235929</v>
      </c>
      <c r="K104" s="429">
        <v>239811</v>
      </c>
      <c r="L104" s="430"/>
      <c r="M104" s="429">
        <v>238996</v>
      </c>
      <c r="N104" s="429">
        <v>240008</v>
      </c>
      <c r="O104" s="429">
        <v>241309</v>
      </c>
      <c r="P104" s="429">
        <v>237980</v>
      </c>
      <c r="Q104" s="430"/>
      <c r="R104" s="429">
        <v>243716</v>
      </c>
      <c r="S104" s="429">
        <v>249406</v>
      </c>
      <c r="T104" s="429">
        <v>248952</v>
      </c>
      <c r="U104" s="429">
        <v>258836</v>
      </c>
      <c r="V104" s="430"/>
      <c r="W104" s="429">
        <v>262506</v>
      </c>
      <c r="X104" s="429">
        <v>260969</v>
      </c>
      <c r="Y104" s="429">
        <v>258348</v>
      </c>
      <c r="Z104" s="429">
        <v>264159</v>
      </c>
      <c r="AA104" s="430"/>
      <c r="AB104" s="429">
        <v>262647</v>
      </c>
      <c r="AC104" s="429">
        <v>264532</v>
      </c>
      <c r="AD104" s="429">
        <v>271362</v>
      </c>
      <c r="AE104" s="429">
        <v>268956</v>
      </c>
      <c r="AF104" s="430"/>
      <c r="AG104" s="429">
        <v>280249</v>
      </c>
      <c r="AH104" s="429">
        <v>282576</v>
      </c>
      <c r="AI104" s="429">
        <v>283203</v>
      </c>
      <c r="AJ104" s="429">
        <v>303435</v>
      </c>
      <c r="AK104" s="206"/>
      <c r="AL104" s="224"/>
      <c r="AM104" s="224"/>
      <c r="AN104" s="225"/>
    </row>
    <row r="105" spans="1:40" s="1" customFormat="1" ht="15" customHeight="1" collapsed="1" x14ac:dyDescent="0.25">
      <c r="A105" s="83" t="str">
        <f>IF(Contents!$A$1=2,"Provisions","Оценочные обязательства")</f>
        <v>Оценочные обязательства</v>
      </c>
      <c r="B105" s="248" t="str">
        <f>IF(Contents!$A$1=2,"mln RUB","млн руб.")</f>
        <v>млн руб.</v>
      </c>
      <c r="C105" s="84"/>
      <c r="D105" s="429">
        <v>34419</v>
      </c>
      <c r="E105" s="418"/>
      <c r="F105" s="429">
        <v>51115</v>
      </c>
      <c r="G105" s="418"/>
      <c r="H105" s="429">
        <v>52884</v>
      </c>
      <c r="I105" s="429">
        <v>55019</v>
      </c>
      <c r="J105" s="429">
        <v>59133</v>
      </c>
      <c r="K105" s="429">
        <v>69944</v>
      </c>
      <c r="L105" s="430"/>
      <c r="M105" s="429">
        <v>49125</v>
      </c>
      <c r="N105" s="429">
        <v>48932</v>
      </c>
      <c r="O105" s="429">
        <v>48158</v>
      </c>
      <c r="P105" s="429">
        <v>47962</v>
      </c>
      <c r="Q105" s="430"/>
      <c r="R105" s="429">
        <v>53164</v>
      </c>
      <c r="S105" s="429">
        <v>60648</v>
      </c>
      <c r="T105" s="429">
        <v>55634</v>
      </c>
      <c r="U105" s="429">
        <v>47923</v>
      </c>
      <c r="V105" s="430"/>
      <c r="W105" s="429">
        <v>46335</v>
      </c>
      <c r="X105" s="429">
        <v>55963</v>
      </c>
      <c r="Y105" s="429">
        <v>54543</v>
      </c>
      <c r="Z105" s="429">
        <v>77045</v>
      </c>
      <c r="AA105" s="430"/>
      <c r="AB105" s="429">
        <v>95551</v>
      </c>
      <c r="AC105" s="429">
        <v>106638</v>
      </c>
      <c r="AD105" s="429">
        <v>116004</v>
      </c>
      <c r="AE105" s="429">
        <v>126665</v>
      </c>
      <c r="AF105" s="430"/>
      <c r="AG105" s="429">
        <v>121784</v>
      </c>
      <c r="AH105" s="429">
        <v>121759</v>
      </c>
      <c r="AI105" s="429">
        <v>114999</v>
      </c>
      <c r="AJ105" s="429">
        <v>113420</v>
      </c>
      <c r="AK105" s="206"/>
      <c r="AL105" s="224"/>
      <c r="AM105" s="224"/>
      <c r="AN105" s="222"/>
    </row>
    <row r="106" spans="1:40" s="179" customFormat="1" ht="15" hidden="1" customHeight="1" outlineLevel="1" x14ac:dyDescent="0.25">
      <c r="A106" s="163" t="str">
        <f>IF(Contents!$A$1=2,"Asset retirement obligation","Обязательства, связанные с окончанием использования активов")</f>
        <v>Обязательства, связанные с окончанием использования активов</v>
      </c>
      <c r="B106" s="249" t="str">
        <f>IF(Contents!$A$1=2,"mln RUB","млн руб.")</f>
        <v>млн руб.</v>
      </c>
      <c r="C106" s="180"/>
      <c r="D106" s="419">
        <v>19274</v>
      </c>
      <c r="E106" s="428"/>
      <c r="F106" s="419">
        <v>32632</v>
      </c>
      <c r="G106" s="428"/>
      <c r="H106" s="419">
        <v>31710</v>
      </c>
      <c r="I106" s="419">
        <v>31707</v>
      </c>
      <c r="J106" s="419">
        <v>32210</v>
      </c>
      <c r="K106" s="419">
        <v>35939</v>
      </c>
      <c r="L106" s="431"/>
      <c r="M106" s="419">
        <v>39241</v>
      </c>
      <c r="N106" s="419">
        <v>38092</v>
      </c>
      <c r="O106" s="419">
        <v>39064</v>
      </c>
      <c r="P106" s="419">
        <v>36478</v>
      </c>
      <c r="Q106" s="431"/>
      <c r="R106" s="419">
        <v>41771</v>
      </c>
      <c r="S106" s="419">
        <v>48483</v>
      </c>
      <c r="T106" s="419">
        <v>42786</v>
      </c>
      <c r="U106" s="419">
        <v>36042</v>
      </c>
      <c r="V106" s="431"/>
      <c r="W106" s="419">
        <v>35511</v>
      </c>
      <c r="X106" s="419">
        <v>46756</v>
      </c>
      <c r="Y106" s="419">
        <v>44998</v>
      </c>
      <c r="Z106" s="419">
        <v>62667</v>
      </c>
      <c r="AA106" s="431"/>
      <c r="AB106" s="419">
        <v>79995</v>
      </c>
      <c r="AC106" s="419">
        <v>91786</v>
      </c>
      <c r="AD106" s="419">
        <v>100137</v>
      </c>
      <c r="AE106" s="419">
        <v>110916</v>
      </c>
      <c r="AF106" s="431"/>
      <c r="AG106" s="419">
        <v>105953</v>
      </c>
      <c r="AH106" s="419">
        <v>107337</v>
      </c>
      <c r="AI106" s="419">
        <v>100563</v>
      </c>
      <c r="AJ106" s="419">
        <v>100590</v>
      </c>
      <c r="AL106" s="224"/>
      <c r="AM106" s="224"/>
      <c r="AN106" s="222"/>
    </row>
    <row r="107" spans="1:40" s="179" customFormat="1" ht="15" hidden="1" customHeight="1" outlineLevel="1" x14ac:dyDescent="0.25">
      <c r="A107" s="163" t="str">
        <f>IF(Contents!$A$1=2,"Provision for employee compensations","Обязательства по выплате вознаграждения сотрудникам")</f>
        <v>Обязательства по выплате вознаграждения сотрудникам</v>
      </c>
      <c r="B107" s="249" t="str">
        <f>IF(Contents!$A$1=2,"mln RUB","млн руб.")</f>
        <v>млн руб.</v>
      </c>
      <c r="C107" s="180"/>
      <c r="D107" s="419">
        <v>5103</v>
      </c>
      <c r="E107" s="428"/>
      <c r="F107" s="419">
        <v>6733</v>
      </c>
      <c r="G107" s="428"/>
      <c r="H107" s="419">
        <v>10289</v>
      </c>
      <c r="I107" s="419">
        <v>12679</v>
      </c>
      <c r="J107" s="419">
        <v>16776</v>
      </c>
      <c r="K107" s="419">
        <v>23377</v>
      </c>
      <c r="L107" s="431"/>
      <c r="M107" s="419">
        <v>928</v>
      </c>
      <c r="N107" s="419">
        <v>1853</v>
      </c>
      <c r="O107" s="419">
        <v>0</v>
      </c>
      <c r="P107" s="419">
        <v>14</v>
      </c>
      <c r="Q107" s="431"/>
      <c r="R107" s="419">
        <v>58</v>
      </c>
      <c r="S107" s="419">
        <v>68</v>
      </c>
      <c r="T107" s="419">
        <v>7</v>
      </c>
      <c r="U107" s="419">
        <v>263</v>
      </c>
      <c r="V107" s="431"/>
      <c r="W107" s="419">
        <v>253</v>
      </c>
      <c r="X107" s="419">
        <v>72</v>
      </c>
      <c r="Y107" s="419">
        <v>45</v>
      </c>
      <c r="Z107" s="419">
        <v>263</v>
      </c>
      <c r="AA107" s="431"/>
      <c r="AB107" s="419">
        <v>77</v>
      </c>
      <c r="AC107" s="419">
        <v>47</v>
      </c>
      <c r="AD107" s="419">
        <v>64</v>
      </c>
      <c r="AE107" s="419">
        <v>175</v>
      </c>
      <c r="AF107" s="431"/>
      <c r="AG107" s="419">
        <v>159</v>
      </c>
      <c r="AH107" s="419">
        <v>97</v>
      </c>
      <c r="AI107" s="419">
        <v>34</v>
      </c>
      <c r="AJ107" s="419">
        <v>121</v>
      </c>
      <c r="AL107" s="224"/>
      <c r="AM107" s="224"/>
      <c r="AN107" s="227"/>
    </row>
    <row r="108" spans="1:40" s="179" customFormat="1" ht="15" hidden="1" customHeight="1" outlineLevel="1" x14ac:dyDescent="0.25">
      <c r="A108" s="163" t="str">
        <f>IF(Contents!$A$1=2,"Provision for environmental liabilities","Обязательства по природоохранным мероприятиям")</f>
        <v>Обязательства по природоохранным мероприятиям</v>
      </c>
      <c r="B108" s="249" t="str">
        <f>IF(Contents!$A$1=2,"mln RUB","млн руб.")</f>
        <v>млн руб.</v>
      </c>
      <c r="C108" s="180"/>
      <c r="D108" s="419">
        <v>3408</v>
      </c>
      <c r="E108" s="428"/>
      <c r="F108" s="419">
        <v>3575</v>
      </c>
      <c r="G108" s="428"/>
      <c r="H108" s="419">
        <v>3088</v>
      </c>
      <c r="I108" s="419">
        <v>3057</v>
      </c>
      <c r="J108" s="419">
        <v>2672</v>
      </c>
      <c r="K108" s="419">
        <v>2523</v>
      </c>
      <c r="L108" s="431"/>
      <c r="M108" s="419">
        <v>2028</v>
      </c>
      <c r="N108" s="419">
        <v>1834</v>
      </c>
      <c r="O108" s="419">
        <v>1945</v>
      </c>
      <c r="P108" s="419">
        <v>1683</v>
      </c>
      <c r="Q108" s="431"/>
      <c r="R108" s="419">
        <v>1381</v>
      </c>
      <c r="S108" s="419">
        <v>1535</v>
      </c>
      <c r="T108" s="419">
        <v>1683</v>
      </c>
      <c r="U108" s="419">
        <v>1604</v>
      </c>
      <c r="V108" s="431"/>
      <c r="W108" s="419">
        <v>1255</v>
      </c>
      <c r="X108" s="419">
        <v>1278</v>
      </c>
      <c r="Y108" s="419">
        <v>1279</v>
      </c>
      <c r="Z108" s="419">
        <v>1175</v>
      </c>
      <c r="AA108" s="431"/>
      <c r="AB108" s="419">
        <v>1410</v>
      </c>
      <c r="AC108" s="419">
        <v>1275</v>
      </c>
      <c r="AD108" s="419">
        <v>1435</v>
      </c>
      <c r="AE108" s="419">
        <v>1329</v>
      </c>
      <c r="AF108" s="431"/>
      <c r="AG108" s="419">
        <v>1448</v>
      </c>
      <c r="AH108" s="419">
        <v>1157</v>
      </c>
      <c r="AI108" s="419">
        <v>1095</v>
      </c>
      <c r="AJ108" s="419">
        <v>1141</v>
      </c>
      <c r="AL108" s="224"/>
      <c r="AM108" s="224"/>
      <c r="AN108" s="227"/>
    </row>
    <row r="109" spans="1:40" s="179" customFormat="1" ht="15" hidden="1" customHeight="1" outlineLevel="1" x14ac:dyDescent="0.25">
      <c r="A109" s="163" t="str">
        <f>IF(Contents!$A$1=2,"Pension provisions","Пенсионные обязательства")</f>
        <v>Пенсионные обязательства</v>
      </c>
      <c r="B109" s="249" t="str">
        <f>IF(Contents!$A$1=2,"mln RUB","млн руб.")</f>
        <v>млн руб.</v>
      </c>
      <c r="C109" s="180"/>
      <c r="D109" s="419">
        <v>4765</v>
      </c>
      <c r="E109" s="428"/>
      <c r="F109" s="419">
        <v>6392</v>
      </c>
      <c r="G109" s="428"/>
      <c r="H109" s="419">
        <v>6234</v>
      </c>
      <c r="I109" s="419">
        <v>6132</v>
      </c>
      <c r="J109" s="419">
        <v>6089</v>
      </c>
      <c r="K109" s="419">
        <v>6531</v>
      </c>
      <c r="L109" s="431"/>
      <c r="M109" s="419">
        <v>6134</v>
      </c>
      <c r="N109" s="419">
        <v>6251</v>
      </c>
      <c r="O109" s="419">
        <v>6261</v>
      </c>
      <c r="P109" s="419">
        <v>8292</v>
      </c>
      <c r="Q109" s="431"/>
      <c r="R109" s="419">
        <v>8321</v>
      </c>
      <c r="S109" s="419">
        <v>8496</v>
      </c>
      <c r="T109" s="419">
        <v>8952</v>
      </c>
      <c r="U109" s="419">
        <v>5916</v>
      </c>
      <c r="V109" s="431"/>
      <c r="W109" s="419">
        <v>5728</v>
      </c>
      <c r="X109" s="419">
        <v>5656</v>
      </c>
      <c r="Y109" s="419">
        <v>5662</v>
      </c>
      <c r="Z109" s="419">
        <v>10310</v>
      </c>
      <c r="AA109" s="431"/>
      <c r="AB109" s="419">
        <v>11053</v>
      </c>
      <c r="AC109" s="419">
        <v>10715</v>
      </c>
      <c r="AD109" s="419">
        <v>11247</v>
      </c>
      <c r="AE109" s="419">
        <v>11678</v>
      </c>
      <c r="AF109" s="431"/>
      <c r="AG109" s="419">
        <v>11661</v>
      </c>
      <c r="AH109" s="419">
        <v>11312</v>
      </c>
      <c r="AI109" s="419">
        <v>11133</v>
      </c>
      <c r="AJ109" s="419">
        <v>9878</v>
      </c>
      <c r="AL109" s="224"/>
      <c r="AM109" s="224"/>
      <c r="AN109" s="227"/>
    </row>
    <row r="110" spans="1:40" s="179" customFormat="1" ht="15" hidden="1" customHeight="1" outlineLevel="1" x14ac:dyDescent="0.25">
      <c r="A110" s="345" t="str">
        <f>IF(Contents!$A$1=2,"Provision for unused vacations","Обязательства по предстоящей оплате отпусков")</f>
        <v>Обязательства по предстоящей оплате отпусков</v>
      </c>
      <c r="B110" s="249" t="str">
        <f>IF(Contents!$A$1=2,"mln RUB","млн руб.")</f>
        <v>млн руб.</v>
      </c>
      <c r="C110" s="180"/>
      <c r="D110" s="419">
        <v>44</v>
      </c>
      <c r="E110" s="428"/>
      <c r="F110" s="419">
        <v>134</v>
      </c>
      <c r="G110" s="428"/>
      <c r="H110" s="419">
        <v>89</v>
      </c>
      <c r="I110" s="419">
        <v>66</v>
      </c>
      <c r="J110" s="419">
        <v>63</v>
      </c>
      <c r="K110" s="419">
        <v>60</v>
      </c>
      <c r="L110" s="431"/>
      <c r="M110" s="419">
        <v>43</v>
      </c>
      <c r="N110" s="419">
        <v>42</v>
      </c>
      <c r="O110" s="419">
        <v>41</v>
      </c>
      <c r="P110" s="419">
        <v>54</v>
      </c>
      <c r="Q110" s="431"/>
      <c r="R110" s="419">
        <v>170</v>
      </c>
      <c r="S110" s="419">
        <v>337</v>
      </c>
      <c r="T110" s="419">
        <v>345</v>
      </c>
      <c r="U110" s="419">
        <v>178</v>
      </c>
      <c r="V110" s="431"/>
      <c r="W110" s="419">
        <v>172</v>
      </c>
      <c r="X110" s="419">
        <v>127</v>
      </c>
      <c r="Y110" s="419">
        <v>150</v>
      </c>
      <c r="Z110" s="419">
        <v>153</v>
      </c>
      <c r="AA110" s="431"/>
      <c r="AB110" s="419">
        <v>192</v>
      </c>
      <c r="AC110" s="419">
        <v>169</v>
      </c>
      <c r="AD110" s="419">
        <v>206</v>
      </c>
      <c r="AE110" s="419">
        <v>322</v>
      </c>
      <c r="AF110" s="431"/>
      <c r="AG110" s="419">
        <v>315</v>
      </c>
      <c r="AH110" s="419">
        <v>350</v>
      </c>
      <c r="AI110" s="419">
        <v>242</v>
      </c>
      <c r="AJ110" s="419">
        <v>252</v>
      </c>
      <c r="AL110" s="224"/>
      <c r="AM110" s="224"/>
      <c r="AN110" s="227"/>
    </row>
    <row r="111" spans="1:40" s="179" customFormat="1" ht="15" hidden="1" customHeight="1" outlineLevel="1" x14ac:dyDescent="0.25">
      <c r="A111" s="163" t="str">
        <f>IF(Contents!$A$1=2,"Other provisions","Прочие оценочные обязательства")</f>
        <v>Прочие оценочные обязательства</v>
      </c>
      <c r="B111" s="249" t="str">
        <f>IF(Contents!$A$1=2,"mln RUB","млн руб.")</f>
        <v>млн руб.</v>
      </c>
      <c r="C111" s="180"/>
      <c r="D111" s="419">
        <v>1825</v>
      </c>
      <c r="E111" s="428"/>
      <c r="F111" s="419">
        <v>1649</v>
      </c>
      <c r="G111" s="428"/>
      <c r="H111" s="419">
        <v>1474</v>
      </c>
      <c r="I111" s="419">
        <v>1378</v>
      </c>
      <c r="J111" s="419">
        <v>1323</v>
      </c>
      <c r="K111" s="419">
        <v>1514</v>
      </c>
      <c r="L111" s="431"/>
      <c r="M111" s="419">
        <v>751</v>
      </c>
      <c r="N111" s="419">
        <v>860</v>
      </c>
      <c r="O111" s="419">
        <v>847</v>
      </c>
      <c r="P111" s="419">
        <v>1441</v>
      </c>
      <c r="Q111" s="431"/>
      <c r="R111" s="419">
        <v>1463</v>
      </c>
      <c r="S111" s="419">
        <v>1729</v>
      </c>
      <c r="T111" s="419">
        <v>1861</v>
      </c>
      <c r="U111" s="419">
        <v>3920</v>
      </c>
      <c r="V111" s="431"/>
      <c r="W111" s="419">
        <v>3416</v>
      </c>
      <c r="X111" s="419">
        <v>2074</v>
      </c>
      <c r="Y111" s="419">
        <v>2409</v>
      </c>
      <c r="Z111" s="419">
        <v>2477</v>
      </c>
      <c r="AA111" s="431"/>
      <c r="AB111" s="419">
        <v>2824</v>
      </c>
      <c r="AC111" s="419">
        <v>2646</v>
      </c>
      <c r="AD111" s="419">
        <v>2915</v>
      </c>
      <c r="AE111" s="419">
        <v>2245</v>
      </c>
      <c r="AF111" s="431"/>
      <c r="AG111" s="419">
        <v>2248</v>
      </c>
      <c r="AH111" s="419">
        <v>1506</v>
      </c>
      <c r="AI111" s="419">
        <v>1932</v>
      </c>
      <c r="AJ111" s="419">
        <v>1438</v>
      </c>
      <c r="AL111" s="224"/>
      <c r="AM111" s="224"/>
      <c r="AN111" s="227"/>
    </row>
    <row r="112" spans="1:40" s="1" customFormat="1" ht="15" customHeight="1" x14ac:dyDescent="0.25">
      <c r="A112" s="83" t="str">
        <f>IF(Contents!$A$1=2,"Other non-current liabilities","Прочие долгосрочные обязательства")</f>
        <v>Прочие долгосрочные обязательства</v>
      </c>
      <c r="B112" s="248" t="str">
        <f>IF(Contents!$A$1=2,"mln RUB","млн руб.")</f>
        <v>млн руб.</v>
      </c>
      <c r="C112" s="84"/>
      <c r="D112" s="417">
        <v>13628</v>
      </c>
      <c r="E112" s="418"/>
      <c r="F112" s="417">
        <v>9636</v>
      </c>
      <c r="G112" s="418"/>
      <c r="H112" s="417">
        <v>8857</v>
      </c>
      <c r="I112" s="417">
        <v>8027</v>
      </c>
      <c r="J112" s="417">
        <v>7246</v>
      </c>
      <c r="K112" s="417">
        <v>6407</v>
      </c>
      <c r="L112" s="418"/>
      <c r="M112" s="417">
        <v>5582</v>
      </c>
      <c r="N112" s="417">
        <v>4845</v>
      </c>
      <c r="O112" s="417">
        <v>4105</v>
      </c>
      <c r="P112" s="417">
        <v>3380</v>
      </c>
      <c r="Q112" s="418"/>
      <c r="R112" s="417">
        <v>2644</v>
      </c>
      <c r="S112" s="417">
        <v>2060</v>
      </c>
      <c r="T112" s="417">
        <v>1355</v>
      </c>
      <c r="U112" s="417">
        <v>2115</v>
      </c>
      <c r="V112" s="418"/>
      <c r="W112" s="417">
        <v>2519</v>
      </c>
      <c r="X112" s="417">
        <v>2576</v>
      </c>
      <c r="Y112" s="417">
        <v>2497</v>
      </c>
      <c r="Z112" s="417">
        <v>1788</v>
      </c>
      <c r="AA112" s="418"/>
      <c r="AB112" s="417">
        <v>2015</v>
      </c>
      <c r="AC112" s="417">
        <v>1304</v>
      </c>
      <c r="AD112" s="417">
        <v>2259</v>
      </c>
      <c r="AE112" s="417">
        <v>2458</v>
      </c>
      <c r="AF112" s="418"/>
      <c r="AG112" s="417">
        <v>2013</v>
      </c>
      <c r="AH112" s="417">
        <v>2664</v>
      </c>
      <c r="AI112" s="417">
        <v>2531</v>
      </c>
      <c r="AJ112" s="417">
        <v>2331</v>
      </c>
      <c r="AK112" s="206"/>
      <c r="AL112" s="224"/>
      <c r="AM112" s="224"/>
      <c r="AN112" s="227"/>
    </row>
    <row r="113" spans="1:40" s="1" customFormat="1" ht="15" customHeight="1" x14ac:dyDescent="0.25">
      <c r="A113" s="116" t="str">
        <f>IF(Contents!$A$1=2,"Total non-current liabilities","Итого долгосрочные обязательства")</f>
        <v>Итого долгосрочные обязательства</v>
      </c>
      <c r="B113" s="256" t="str">
        <f>IF(Contents!$A$1=2,"mln RUB","млн руб.")</f>
        <v>млн руб.</v>
      </c>
      <c r="C113" s="82"/>
      <c r="D113" s="420">
        <v>909965</v>
      </c>
      <c r="E113" s="426"/>
      <c r="F113" s="420">
        <v>1094065</v>
      </c>
      <c r="G113" s="426"/>
      <c r="H113" s="420">
        <v>1103016</v>
      </c>
      <c r="I113" s="420">
        <v>1030571</v>
      </c>
      <c r="J113" s="420">
        <v>1016705</v>
      </c>
      <c r="K113" s="420">
        <v>956323</v>
      </c>
      <c r="L113" s="426"/>
      <c r="M113" s="420">
        <v>895338</v>
      </c>
      <c r="N113" s="420">
        <v>826528</v>
      </c>
      <c r="O113" s="420">
        <v>815617</v>
      </c>
      <c r="P113" s="420">
        <v>776969</v>
      </c>
      <c r="Q113" s="426"/>
      <c r="R113" s="420">
        <v>780764</v>
      </c>
      <c r="S113" s="420">
        <v>798096</v>
      </c>
      <c r="T113" s="420">
        <v>819410</v>
      </c>
      <c r="U113" s="420">
        <v>744296</v>
      </c>
      <c r="V113" s="426"/>
      <c r="W113" s="420">
        <v>842285</v>
      </c>
      <c r="X113" s="420">
        <v>826418</v>
      </c>
      <c r="Y113" s="420">
        <v>823218</v>
      </c>
      <c r="Z113" s="420">
        <v>765924</v>
      </c>
      <c r="AA113" s="426"/>
      <c r="AB113" s="420">
        <v>877029</v>
      </c>
      <c r="AC113" s="420">
        <v>934821</v>
      </c>
      <c r="AD113" s="420">
        <v>1017769</v>
      </c>
      <c r="AE113" s="420">
        <v>975154</v>
      </c>
      <c r="AF113" s="426"/>
      <c r="AG113" s="420">
        <v>988019</v>
      </c>
      <c r="AH113" s="420">
        <v>924909</v>
      </c>
      <c r="AI113" s="420">
        <v>938618</v>
      </c>
      <c r="AJ113" s="420">
        <v>1096885</v>
      </c>
      <c r="AK113" s="206"/>
      <c r="AL113" s="224"/>
      <c r="AM113" s="224"/>
      <c r="AN113" s="222"/>
    </row>
    <row r="114" spans="1:40" s="1" customFormat="1" ht="15" customHeight="1" x14ac:dyDescent="0.25">
      <c r="A114" s="117" t="str">
        <f>IF(Contents!$A$1=2,"Total liabilities","Итого обязательства")</f>
        <v>Итого обязательства</v>
      </c>
      <c r="B114" s="257" t="str">
        <f>IF(Contents!$A$1=2,"mln RUB","млн руб.")</f>
        <v>млн руб.</v>
      </c>
      <c r="C114" s="79"/>
      <c r="D114" s="432">
        <v>1689411</v>
      </c>
      <c r="E114" s="426"/>
      <c r="F114" s="432">
        <v>1789233</v>
      </c>
      <c r="G114" s="426"/>
      <c r="H114" s="432">
        <v>1723281</v>
      </c>
      <c r="I114" s="432">
        <v>1829227</v>
      </c>
      <c r="J114" s="432">
        <v>1701921</v>
      </c>
      <c r="K114" s="432">
        <v>1787009</v>
      </c>
      <c r="L114" s="426"/>
      <c r="M114" s="432">
        <v>1542453</v>
      </c>
      <c r="N114" s="432">
        <v>1615398</v>
      </c>
      <c r="O114" s="432">
        <v>1585157</v>
      </c>
      <c r="P114" s="432">
        <v>1735816</v>
      </c>
      <c r="Q114" s="426"/>
      <c r="R114" s="432">
        <v>1608783</v>
      </c>
      <c r="S114" s="432">
        <v>1761613</v>
      </c>
      <c r="T114" s="432">
        <v>1751475</v>
      </c>
      <c r="U114" s="432">
        <v>1658856</v>
      </c>
      <c r="V114" s="426"/>
      <c r="W114" s="432">
        <v>1766490</v>
      </c>
      <c r="X114" s="432">
        <v>2023426</v>
      </c>
      <c r="Y114" s="432">
        <v>1697892</v>
      </c>
      <c r="Z114" s="432">
        <v>1973601</v>
      </c>
      <c r="AA114" s="426"/>
      <c r="AB114" s="432">
        <v>1760199</v>
      </c>
      <c r="AC114" s="432">
        <v>2040038</v>
      </c>
      <c r="AD114" s="432">
        <v>1969232</v>
      </c>
      <c r="AE114" s="432">
        <v>1860813</v>
      </c>
      <c r="AF114" s="426"/>
      <c r="AG114" s="432">
        <v>2058870</v>
      </c>
      <c r="AH114" s="432">
        <v>2203193</v>
      </c>
      <c r="AI114" s="432">
        <v>2127171</v>
      </c>
      <c r="AJ114" s="432">
        <v>2341565</v>
      </c>
      <c r="AK114" s="206"/>
      <c r="AL114" s="224"/>
      <c r="AM114" s="224"/>
      <c r="AN114" s="222"/>
    </row>
    <row r="115" spans="1:40" s="1" customFormat="1" ht="15" customHeight="1" collapsed="1" x14ac:dyDescent="0.25">
      <c r="A115" s="78" t="str">
        <f>IF(Contents!$A$1=2,"Equity","Капитал")</f>
        <v>Капитал</v>
      </c>
      <c r="B115" s="248"/>
      <c r="C115" s="79"/>
      <c r="D115" s="429"/>
      <c r="E115" s="418"/>
      <c r="F115" s="429"/>
      <c r="G115" s="418"/>
      <c r="H115" s="429"/>
      <c r="I115" s="429"/>
      <c r="J115" s="429"/>
      <c r="K115" s="429"/>
      <c r="L115" s="430"/>
      <c r="M115" s="429"/>
      <c r="N115" s="429"/>
      <c r="O115" s="429"/>
      <c r="P115" s="429"/>
      <c r="Q115" s="430"/>
      <c r="R115" s="429"/>
      <c r="S115" s="429"/>
      <c r="T115" s="429"/>
      <c r="U115" s="429"/>
      <c r="V115" s="430"/>
      <c r="W115" s="429"/>
      <c r="X115" s="429"/>
      <c r="Y115" s="429"/>
      <c r="Z115" s="429"/>
      <c r="AA115" s="430"/>
      <c r="AB115" s="429"/>
      <c r="AC115" s="429"/>
      <c r="AD115" s="429"/>
      <c r="AE115" s="429"/>
      <c r="AF115" s="430"/>
      <c r="AG115" s="429"/>
      <c r="AH115" s="429"/>
      <c r="AI115" s="429"/>
      <c r="AJ115" s="429"/>
      <c r="AK115" s="206"/>
      <c r="AL115" s="224"/>
      <c r="AM115" s="224"/>
      <c r="AN115" s="222"/>
    </row>
    <row r="116" spans="1:40" s="162" customFormat="1" ht="15" hidden="1" customHeight="1" outlineLevel="1" x14ac:dyDescent="0.25">
      <c r="A116" s="186" t="str">
        <f>IF(Contents!$A$1=2,"Outstanding common shares","Акции в обращении")</f>
        <v>Акции в обращении</v>
      </c>
      <c r="B116" s="258" t="str">
        <f>IF(Contents!$A$1=2,"th. shares","тыс. шт")</f>
        <v>тыс. шт</v>
      </c>
      <c r="C116" s="167"/>
      <c r="D116" s="460">
        <v>754866</v>
      </c>
      <c r="E116" s="468"/>
      <c r="F116" s="460">
        <v>712933</v>
      </c>
      <c r="G116" s="468"/>
      <c r="H116" s="460">
        <v>712933</v>
      </c>
      <c r="I116" s="460">
        <v>712933</v>
      </c>
      <c r="J116" s="460">
        <v>712933</v>
      </c>
      <c r="K116" s="460">
        <v>712933</v>
      </c>
      <c r="L116" s="469"/>
      <c r="M116" s="460">
        <v>712933</v>
      </c>
      <c r="N116" s="460">
        <v>709633</v>
      </c>
      <c r="O116" s="460">
        <v>709633</v>
      </c>
      <c r="P116" s="460">
        <v>709633</v>
      </c>
      <c r="Q116" s="469"/>
      <c r="R116" s="460">
        <v>709633</v>
      </c>
      <c r="S116" s="460">
        <v>709633</v>
      </c>
      <c r="T116" s="460">
        <v>708152</v>
      </c>
      <c r="U116" s="460">
        <v>696893</v>
      </c>
      <c r="V116" s="469"/>
      <c r="W116" s="460">
        <v>683472</v>
      </c>
      <c r="X116" s="460">
        <v>673009</v>
      </c>
      <c r="Y116" s="460">
        <v>652881</v>
      </c>
      <c r="Z116" s="460">
        <v>652881</v>
      </c>
      <c r="AA116" s="469"/>
      <c r="AB116" s="460">
        <v>652499</v>
      </c>
      <c r="AC116" s="460">
        <v>652499</v>
      </c>
      <c r="AD116" s="460">
        <v>652499</v>
      </c>
      <c r="AE116" s="460">
        <v>652499</v>
      </c>
      <c r="AF116" s="469"/>
      <c r="AG116" s="460">
        <v>652499</v>
      </c>
      <c r="AH116" s="460">
        <v>652499</v>
      </c>
      <c r="AI116" s="460">
        <v>652499</v>
      </c>
      <c r="AJ116" s="460">
        <v>650344</v>
      </c>
      <c r="AL116" s="224"/>
      <c r="AM116" s="224"/>
      <c r="AN116" s="222"/>
    </row>
    <row r="117" spans="1:40" s="162" customFormat="1" ht="15" hidden="1" customHeight="1" outlineLevel="1" x14ac:dyDescent="0.25">
      <c r="A117" s="166" t="str">
        <f>IF(Contents!$A$1=2,"Issued common shares, par value of 0.025 RUB each","Размещенные и полностью оплаченные по номинальной стоимости 0,025 руб. за штуку")</f>
        <v>Размещенные и полностью оплаченные по номинальной стоимости 0,025 руб. за штуку</v>
      </c>
      <c r="B117" s="259" t="str">
        <f>IF(Contents!$A$1=2,"th. shares","тыс. шт")</f>
        <v>тыс. шт</v>
      </c>
      <c r="C117" s="164"/>
      <c r="D117" s="419">
        <v>850563</v>
      </c>
      <c r="E117" s="419"/>
      <c r="F117" s="419">
        <v>850563</v>
      </c>
      <c r="G117" s="419"/>
      <c r="H117" s="419">
        <v>850563</v>
      </c>
      <c r="I117" s="419">
        <v>850563</v>
      </c>
      <c r="J117" s="419">
        <v>850563</v>
      </c>
      <c r="K117" s="419">
        <v>850563</v>
      </c>
      <c r="L117" s="431"/>
      <c r="M117" s="419">
        <v>850563</v>
      </c>
      <c r="N117" s="419">
        <v>850563</v>
      </c>
      <c r="O117" s="419">
        <v>850563</v>
      </c>
      <c r="P117" s="419">
        <v>850563</v>
      </c>
      <c r="Q117" s="431"/>
      <c r="R117" s="419">
        <v>850563</v>
      </c>
      <c r="S117" s="419">
        <v>850563</v>
      </c>
      <c r="T117" s="419">
        <v>850563</v>
      </c>
      <c r="U117" s="419">
        <v>750000</v>
      </c>
      <c r="V117" s="431"/>
      <c r="W117" s="419">
        <v>750000</v>
      </c>
      <c r="X117" s="419">
        <v>750000</v>
      </c>
      <c r="Y117" s="419">
        <v>715000</v>
      </c>
      <c r="Z117" s="419">
        <v>715000</v>
      </c>
      <c r="AA117" s="431"/>
      <c r="AB117" s="419">
        <v>692866</v>
      </c>
      <c r="AC117" s="419">
        <v>692866</v>
      </c>
      <c r="AD117" s="419">
        <v>692866</v>
      </c>
      <c r="AE117" s="419">
        <v>692866</v>
      </c>
      <c r="AF117" s="431"/>
      <c r="AG117" s="419">
        <v>692866</v>
      </c>
      <c r="AH117" s="419">
        <v>692866</v>
      </c>
      <c r="AI117" s="419">
        <v>692866</v>
      </c>
      <c r="AJ117" s="419">
        <v>692866</v>
      </c>
      <c r="AL117" s="224"/>
      <c r="AM117" s="224"/>
      <c r="AN117" s="225"/>
    </row>
    <row r="118" spans="1:40" s="162" customFormat="1" ht="15" hidden="1" customHeight="1" outlineLevel="1" x14ac:dyDescent="0.25">
      <c r="A118" s="166" t="str">
        <f>IF(Contents!$A$1=2,"Treasury shares","Собственные акции, выкупленные у акционеров")</f>
        <v>Собственные акции, выкупленные у акционеров</v>
      </c>
      <c r="B118" s="259" t="str">
        <f>IF(Contents!$A$1=2,"th. shares","тыс. шт")</f>
        <v>тыс. шт</v>
      </c>
      <c r="C118" s="164"/>
      <c r="D118" s="419">
        <v>-95697</v>
      </c>
      <c r="E118" s="419"/>
      <c r="F118" s="419">
        <v>-137630</v>
      </c>
      <c r="G118" s="419"/>
      <c r="H118" s="419">
        <v>-137630</v>
      </c>
      <c r="I118" s="419">
        <v>-137630</v>
      </c>
      <c r="J118" s="419">
        <v>-137630</v>
      </c>
      <c r="K118" s="419">
        <v>-137630</v>
      </c>
      <c r="L118" s="431"/>
      <c r="M118" s="419">
        <v>-137630</v>
      </c>
      <c r="N118" s="419">
        <v>-140930</v>
      </c>
      <c r="O118" s="419">
        <v>-140930</v>
      </c>
      <c r="P118" s="419">
        <v>-140930</v>
      </c>
      <c r="Q118" s="431"/>
      <c r="R118" s="419">
        <v>-140930</v>
      </c>
      <c r="S118" s="419">
        <v>-140930</v>
      </c>
      <c r="T118" s="419">
        <v>-142411</v>
      </c>
      <c r="U118" s="419">
        <v>-53107</v>
      </c>
      <c r="V118" s="431"/>
      <c r="W118" s="419">
        <v>-66528</v>
      </c>
      <c r="X118" s="419">
        <v>-76991</v>
      </c>
      <c r="Y118" s="419">
        <v>-62119</v>
      </c>
      <c r="Z118" s="419">
        <v>-62119</v>
      </c>
      <c r="AA118" s="431"/>
      <c r="AB118" s="419">
        <v>-40367</v>
      </c>
      <c r="AC118" s="419">
        <v>-40367</v>
      </c>
      <c r="AD118" s="419">
        <v>-40367</v>
      </c>
      <c r="AE118" s="419">
        <v>-40367</v>
      </c>
      <c r="AF118" s="431"/>
      <c r="AG118" s="419">
        <v>-40367</v>
      </c>
      <c r="AH118" s="419">
        <v>-40367</v>
      </c>
      <c r="AI118" s="419">
        <v>-40367</v>
      </c>
      <c r="AJ118" s="419">
        <v>-42522</v>
      </c>
      <c r="AL118" s="224"/>
      <c r="AM118" s="224"/>
      <c r="AN118" s="225"/>
    </row>
    <row r="119" spans="1:40" s="1" customFormat="1" ht="15" customHeight="1" x14ac:dyDescent="0.25">
      <c r="A119" s="83" t="str">
        <f>IF(Contents!$A$1=2,"Share capital","Уставный капитал")</f>
        <v>Уставный капитал</v>
      </c>
      <c r="B119" s="248" t="str">
        <f>IF(Contents!$A$1=2,"mln RUB","млн руб.")</f>
        <v>млн руб.</v>
      </c>
      <c r="C119" s="84"/>
      <c r="D119" s="429">
        <v>1151</v>
      </c>
      <c r="E119" s="418"/>
      <c r="F119" s="429">
        <v>1151</v>
      </c>
      <c r="G119" s="418"/>
      <c r="H119" s="429">
        <v>1151</v>
      </c>
      <c r="I119" s="429">
        <v>1151</v>
      </c>
      <c r="J119" s="429">
        <v>1151</v>
      </c>
      <c r="K119" s="429">
        <v>1151</v>
      </c>
      <c r="L119" s="430"/>
      <c r="M119" s="429">
        <v>1151</v>
      </c>
      <c r="N119" s="429">
        <v>1151</v>
      </c>
      <c r="O119" s="429">
        <v>1151</v>
      </c>
      <c r="P119" s="429">
        <v>1151</v>
      </c>
      <c r="Q119" s="430"/>
      <c r="R119" s="429">
        <v>1151</v>
      </c>
      <c r="S119" s="429">
        <v>1151</v>
      </c>
      <c r="T119" s="429">
        <v>1151</v>
      </c>
      <c r="U119" s="429">
        <v>1015</v>
      </c>
      <c r="V119" s="430"/>
      <c r="W119" s="429">
        <v>1015</v>
      </c>
      <c r="X119" s="429">
        <v>1015</v>
      </c>
      <c r="Y119" s="429">
        <v>968</v>
      </c>
      <c r="Z119" s="429">
        <v>968</v>
      </c>
      <c r="AA119" s="430"/>
      <c r="AB119" s="429">
        <v>938</v>
      </c>
      <c r="AC119" s="429">
        <v>938</v>
      </c>
      <c r="AD119" s="429">
        <v>938</v>
      </c>
      <c r="AE119" s="429">
        <v>938</v>
      </c>
      <c r="AF119" s="430"/>
      <c r="AG119" s="429">
        <v>938</v>
      </c>
      <c r="AH119" s="429">
        <v>938</v>
      </c>
      <c r="AI119" s="429">
        <v>938</v>
      </c>
      <c r="AJ119" s="429">
        <v>938</v>
      </c>
      <c r="AK119" s="206"/>
      <c r="AL119" s="224"/>
      <c r="AM119" s="224"/>
      <c r="AN119" s="225"/>
    </row>
    <row r="120" spans="1:40" s="1" customFormat="1" ht="15" customHeight="1" x14ac:dyDescent="0.25">
      <c r="A120" s="347" t="str">
        <f>IF(Contents!$A$1=2,"Treasury shares (including obligation to repurchase common shares)","Собственные акции, выкупленные у акционеров (включая обязательство по выкупу обыкновенных акций)")</f>
        <v>Собственные акции, выкупленные у акционеров (включая обязательство по выкупу обыкновенных акций)</v>
      </c>
      <c r="B120" s="248" t="str">
        <f>IF(Contents!$A$1=2,"mln RUB","млн руб.")</f>
        <v>млн руб.</v>
      </c>
      <c r="C120" s="84"/>
      <c r="D120" s="429">
        <v>-158615</v>
      </c>
      <c r="E120" s="418"/>
      <c r="F120" s="429">
        <v>-241615</v>
      </c>
      <c r="G120" s="418"/>
      <c r="H120" s="429">
        <v>-241615</v>
      </c>
      <c r="I120" s="429">
        <v>-241615</v>
      </c>
      <c r="J120" s="429">
        <v>-241615</v>
      </c>
      <c r="K120" s="429">
        <v>-241615</v>
      </c>
      <c r="L120" s="430"/>
      <c r="M120" s="429">
        <v>-241615</v>
      </c>
      <c r="N120" s="429">
        <v>-251089</v>
      </c>
      <c r="O120" s="429">
        <v>-251089</v>
      </c>
      <c r="P120" s="429">
        <v>-251089</v>
      </c>
      <c r="Q120" s="430"/>
      <c r="R120" s="429">
        <v>-251089</v>
      </c>
      <c r="S120" s="429">
        <v>-251089</v>
      </c>
      <c r="T120" s="429">
        <v>-258113</v>
      </c>
      <c r="U120" s="429">
        <v>-134810</v>
      </c>
      <c r="V120" s="430"/>
      <c r="W120" s="429">
        <v>-208763</v>
      </c>
      <c r="X120" s="429">
        <v>-437145</v>
      </c>
      <c r="Y120" s="429">
        <v>-187171</v>
      </c>
      <c r="Z120" s="429">
        <v>-308160</v>
      </c>
      <c r="AA120" s="430"/>
      <c r="AB120" s="429">
        <v>-71920</v>
      </c>
      <c r="AC120" s="429">
        <v>-71920</v>
      </c>
      <c r="AD120" s="429">
        <v>-71920</v>
      </c>
      <c r="AE120" s="429">
        <v>-71920</v>
      </c>
      <c r="AF120" s="430"/>
      <c r="AG120" s="429">
        <v>-71920</v>
      </c>
      <c r="AH120" s="429">
        <v>-71920</v>
      </c>
      <c r="AI120" s="429">
        <v>-71920</v>
      </c>
      <c r="AJ120" s="429">
        <v>-85879</v>
      </c>
      <c r="AK120" s="206"/>
      <c r="AL120" s="224"/>
      <c r="AM120" s="224"/>
      <c r="AN120" s="222"/>
    </row>
    <row r="121" spans="1:40" s="1" customFormat="1" ht="15" customHeight="1" x14ac:dyDescent="0.25">
      <c r="A121" s="83" t="str">
        <f>IF(Contents!$A$1=2,"Equity-linked notes","Облигации с правои обмена на акции")</f>
        <v>Облигации с правои обмена на акции</v>
      </c>
      <c r="B121" s="248" t="str">
        <f>IF(Contents!$A$1=2,"mln RUB","млн руб.")</f>
        <v>млн руб.</v>
      </c>
      <c r="C121" s="84"/>
      <c r="D121" s="429">
        <v>-83000</v>
      </c>
      <c r="E121" s="418"/>
      <c r="F121" s="429">
        <v>0</v>
      </c>
      <c r="G121" s="418"/>
      <c r="H121" s="429">
        <v>0</v>
      </c>
      <c r="I121" s="429">
        <v>0</v>
      </c>
      <c r="J121" s="429">
        <v>0</v>
      </c>
      <c r="K121" s="429">
        <v>0</v>
      </c>
      <c r="L121" s="430"/>
      <c r="M121" s="429">
        <v>0</v>
      </c>
      <c r="N121" s="429">
        <v>0</v>
      </c>
      <c r="O121" s="429">
        <v>0</v>
      </c>
      <c r="P121" s="429">
        <v>0</v>
      </c>
      <c r="Q121" s="430"/>
      <c r="R121" s="429">
        <v>0</v>
      </c>
      <c r="S121" s="429">
        <v>0</v>
      </c>
      <c r="T121" s="429">
        <v>0</v>
      </c>
      <c r="U121" s="429">
        <v>0</v>
      </c>
      <c r="V121" s="430"/>
      <c r="W121" s="429">
        <v>0</v>
      </c>
      <c r="X121" s="429">
        <v>0</v>
      </c>
      <c r="Y121" s="429">
        <v>0</v>
      </c>
      <c r="Z121" s="429">
        <v>0</v>
      </c>
      <c r="AA121" s="430"/>
      <c r="AB121" s="429">
        <v>0</v>
      </c>
      <c r="AC121" s="429">
        <v>0</v>
      </c>
      <c r="AD121" s="429">
        <v>0</v>
      </c>
      <c r="AE121" s="429">
        <v>0</v>
      </c>
      <c r="AF121" s="430"/>
      <c r="AG121" s="429">
        <v>0</v>
      </c>
      <c r="AH121" s="429">
        <v>0</v>
      </c>
      <c r="AI121" s="429">
        <v>0</v>
      </c>
      <c r="AJ121" s="429">
        <v>0</v>
      </c>
      <c r="AK121" s="206"/>
      <c r="AL121" s="224"/>
      <c r="AM121" s="224"/>
      <c r="AN121" s="222"/>
    </row>
    <row r="122" spans="1:40" s="1" customFormat="1" ht="15" customHeight="1" x14ac:dyDescent="0.25">
      <c r="A122" s="83" t="str">
        <f>IF(Contents!$A$1=2,"Additional paid-in capital","Добавочный капитал")</f>
        <v>Добавочный капитал</v>
      </c>
      <c r="B122" s="248" t="str">
        <f>IF(Contents!$A$1=2,"mln RUB","млн руб.")</f>
        <v>млн руб.</v>
      </c>
      <c r="C122" s="84"/>
      <c r="D122" s="429">
        <v>128846</v>
      </c>
      <c r="E122" s="418"/>
      <c r="F122" s="429">
        <v>129403</v>
      </c>
      <c r="G122" s="418"/>
      <c r="H122" s="429">
        <v>129403</v>
      </c>
      <c r="I122" s="429">
        <v>129508</v>
      </c>
      <c r="J122" s="429">
        <v>129510</v>
      </c>
      <c r="K122" s="429">
        <v>129514</v>
      </c>
      <c r="L122" s="430"/>
      <c r="M122" s="429">
        <v>129656</v>
      </c>
      <c r="N122" s="429">
        <v>129637</v>
      </c>
      <c r="O122" s="429">
        <v>129641</v>
      </c>
      <c r="P122" s="429">
        <v>129641</v>
      </c>
      <c r="Q122" s="430"/>
      <c r="R122" s="429">
        <v>129662</v>
      </c>
      <c r="S122" s="429">
        <v>129712</v>
      </c>
      <c r="T122" s="429">
        <v>129732</v>
      </c>
      <c r="U122" s="429">
        <v>39173</v>
      </c>
      <c r="V122" s="430"/>
      <c r="W122" s="429">
        <v>39132</v>
      </c>
      <c r="X122" s="429">
        <v>39116</v>
      </c>
      <c r="Y122" s="429">
        <v>39119</v>
      </c>
      <c r="Z122" s="429">
        <v>39277</v>
      </c>
      <c r="AA122" s="430"/>
      <c r="AB122" s="429">
        <v>39275</v>
      </c>
      <c r="AC122" s="429">
        <v>39282</v>
      </c>
      <c r="AD122" s="429">
        <v>39306</v>
      </c>
      <c r="AE122" s="429">
        <v>39298</v>
      </c>
      <c r="AF122" s="430"/>
      <c r="AG122" s="429">
        <v>39314</v>
      </c>
      <c r="AH122" s="429">
        <v>39327</v>
      </c>
      <c r="AI122" s="429">
        <v>39402</v>
      </c>
      <c r="AJ122" s="429">
        <v>39398</v>
      </c>
      <c r="AK122" s="206"/>
      <c r="AL122" s="224"/>
      <c r="AM122" s="224"/>
      <c r="AN122" s="222"/>
    </row>
    <row r="123" spans="1:40" s="1" customFormat="1" ht="15" customHeight="1" x14ac:dyDescent="0.25">
      <c r="A123" s="83" t="str">
        <f>IF(Contents!$A$1=2,"Other reserves","Прочие резервы")</f>
        <v>Прочие резервы</v>
      </c>
      <c r="B123" s="248" t="str">
        <f>IF(Contents!$A$1=2,"mln RUB","млн руб.")</f>
        <v>млн руб.</v>
      </c>
      <c r="C123" s="84"/>
      <c r="D123" s="429">
        <v>93454</v>
      </c>
      <c r="E123" s="418"/>
      <c r="F123" s="429">
        <v>104150</v>
      </c>
      <c r="G123" s="418"/>
      <c r="H123" s="429">
        <v>88745</v>
      </c>
      <c r="I123" s="429">
        <v>66791</v>
      </c>
      <c r="J123" s="429">
        <v>65056</v>
      </c>
      <c r="K123" s="429">
        <v>28975</v>
      </c>
      <c r="L123" s="430"/>
      <c r="M123" s="429">
        <v>10050</v>
      </c>
      <c r="N123" s="429">
        <v>40348</v>
      </c>
      <c r="O123" s="429">
        <v>44062</v>
      </c>
      <c r="P123" s="429">
        <v>27090</v>
      </c>
      <c r="Q123" s="430"/>
      <c r="R123" s="429">
        <v>30535</v>
      </c>
      <c r="S123" s="429">
        <v>89563</v>
      </c>
      <c r="T123" s="429">
        <v>125439</v>
      </c>
      <c r="U123" s="429">
        <v>196554</v>
      </c>
      <c r="V123" s="430"/>
      <c r="W123" s="429">
        <v>96117</v>
      </c>
      <c r="X123" s="429">
        <v>64922</v>
      </c>
      <c r="Y123" s="429">
        <v>79788</v>
      </c>
      <c r="Z123" s="429">
        <v>30141</v>
      </c>
      <c r="AA123" s="430"/>
      <c r="AB123" s="429">
        <v>343276</v>
      </c>
      <c r="AC123" s="429">
        <v>191885</v>
      </c>
      <c r="AD123" s="429">
        <v>397885</v>
      </c>
      <c r="AE123" s="429">
        <v>296641</v>
      </c>
      <c r="AF123" s="430"/>
      <c r="AG123" s="429">
        <v>319501</v>
      </c>
      <c r="AH123" s="429">
        <v>255972</v>
      </c>
      <c r="AI123" s="429">
        <v>256353</v>
      </c>
      <c r="AJ123" s="429">
        <v>280351</v>
      </c>
      <c r="AK123" s="206"/>
      <c r="AL123" s="224"/>
      <c r="AM123" s="224"/>
      <c r="AN123" s="222"/>
    </row>
    <row r="124" spans="1:40" s="1" customFormat="1" ht="15" customHeight="1" x14ac:dyDescent="0.25">
      <c r="A124" s="93" t="str">
        <f>IF(Contents!$A$1=2,"Retained earnings","Нераспределенная прибыль")</f>
        <v>Нераспределенная прибыль</v>
      </c>
      <c r="B124" s="260" t="str">
        <f>IF(Contents!$A$1=2,"mln RUB","млн руб.")</f>
        <v>млн руб.</v>
      </c>
      <c r="C124" s="84"/>
      <c r="D124" s="423">
        <v>3055542</v>
      </c>
      <c r="E124" s="418"/>
      <c r="F124" s="423">
        <v>3229379</v>
      </c>
      <c r="G124" s="418"/>
      <c r="H124" s="423">
        <v>3272204</v>
      </c>
      <c r="I124" s="423">
        <v>3254923</v>
      </c>
      <c r="J124" s="423">
        <v>3309726</v>
      </c>
      <c r="K124" s="423">
        <v>3302855</v>
      </c>
      <c r="L124" s="418"/>
      <c r="M124" s="423">
        <v>3365132</v>
      </c>
      <c r="N124" s="423">
        <v>3418624</v>
      </c>
      <c r="O124" s="423">
        <v>3515965</v>
      </c>
      <c r="P124" s="423">
        <v>3576158</v>
      </c>
      <c r="Q124" s="418"/>
      <c r="R124" s="423">
        <v>3678385</v>
      </c>
      <c r="S124" s="423">
        <v>3753455</v>
      </c>
      <c r="T124" s="423">
        <v>3955499</v>
      </c>
      <c r="U124" s="423">
        <v>3963628</v>
      </c>
      <c r="V124" s="418"/>
      <c r="W124" s="423">
        <v>4120706</v>
      </c>
      <c r="X124" s="423">
        <v>4199220</v>
      </c>
      <c r="Y124" s="423">
        <v>4209090</v>
      </c>
      <c r="Z124" s="423">
        <v>4203138</v>
      </c>
      <c r="AA124" s="418"/>
      <c r="AB124" s="423">
        <v>4047772</v>
      </c>
      <c r="AC124" s="423">
        <v>3794391</v>
      </c>
      <c r="AD124" s="423">
        <v>3852652</v>
      </c>
      <c r="AE124" s="423">
        <v>3858057</v>
      </c>
      <c r="AF124" s="418"/>
      <c r="AG124" s="423">
        <v>4023326</v>
      </c>
      <c r="AH124" s="423">
        <v>4073338</v>
      </c>
      <c r="AI124" s="423">
        <v>4273654</v>
      </c>
      <c r="AJ124" s="423">
        <v>4280226</v>
      </c>
      <c r="AK124" s="206"/>
      <c r="AL124" s="224"/>
      <c r="AM124" s="224"/>
      <c r="AN124" s="222"/>
    </row>
    <row r="125" spans="1:40" s="110" customFormat="1" ht="15" customHeight="1" x14ac:dyDescent="0.25">
      <c r="A125" s="187" t="str">
        <f>IF(Contents!$A$1=2,"Total equity attributable to PJSC LUKOIL shareholders","Итого акционерный капитал, относящийся к акционерам ПАО «ЛУКОЙЛ»")</f>
        <v>Итого акционерный капитал, относящийся к акционерам ПАО «ЛУКОЙЛ»</v>
      </c>
      <c r="B125" s="261" t="str">
        <f>IF(Contents!$A$1=2,"mln RUB","млн руб.")</f>
        <v>млн руб.</v>
      </c>
      <c r="C125" s="109"/>
      <c r="D125" s="461">
        <v>3037378</v>
      </c>
      <c r="E125" s="426"/>
      <c r="F125" s="461">
        <v>3222468</v>
      </c>
      <c r="G125" s="426"/>
      <c r="H125" s="461">
        <v>3249888</v>
      </c>
      <c r="I125" s="461">
        <v>3210758</v>
      </c>
      <c r="J125" s="461">
        <v>3263828</v>
      </c>
      <c r="K125" s="461">
        <v>3220880</v>
      </c>
      <c r="L125" s="426"/>
      <c r="M125" s="461">
        <v>3264374</v>
      </c>
      <c r="N125" s="461">
        <v>3338671</v>
      </c>
      <c r="O125" s="461">
        <v>3439730</v>
      </c>
      <c r="P125" s="461">
        <v>3482951</v>
      </c>
      <c r="Q125" s="426"/>
      <c r="R125" s="461">
        <v>3588644</v>
      </c>
      <c r="S125" s="461">
        <v>3722792</v>
      </c>
      <c r="T125" s="461">
        <v>3953708</v>
      </c>
      <c r="U125" s="461">
        <v>4065560</v>
      </c>
      <c r="V125" s="426"/>
      <c r="W125" s="461">
        <v>4048207</v>
      </c>
      <c r="X125" s="461">
        <v>3867128</v>
      </c>
      <c r="Y125" s="461">
        <v>4141794</v>
      </c>
      <c r="Z125" s="461">
        <v>3965364</v>
      </c>
      <c r="AA125" s="426"/>
      <c r="AB125" s="461">
        <v>4359341</v>
      </c>
      <c r="AC125" s="461">
        <v>3954576</v>
      </c>
      <c r="AD125" s="461">
        <v>4218861</v>
      </c>
      <c r="AE125" s="461">
        <v>4123014</v>
      </c>
      <c r="AF125" s="426"/>
      <c r="AG125" s="461">
        <v>4311159</v>
      </c>
      <c r="AH125" s="461">
        <v>4297655</v>
      </c>
      <c r="AI125" s="461">
        <v>4498427</v>
      </c>
      <c r="AJ125" s="461">
        <v>4515034</v>
      </c>
      <c r="AL125" s="224"/>
      <c r="AM125" s="224"/>
      <c r="AN125" s="222"/>
    </row>
    <row r="126" spans="1:40" s="1" customFormat="1" ht="15" customHeight="1" x14ac:dyDescent="0.25">
      <c r="A126" s="94" t="str">
        <f>IF(Contents!$A$1=2,"Non-controlling interests","Неконтролирующая доля")</f>
        <v>Неконтролирующая доля</v>
      </c>
      <c r="B126" s="250" t="str">
        <f>IF(Contents!$A$1=2,"mln RUB","млн руб.")</f>
        <v>млн руб.</v>
      </c>
      <c r="C126" s="82"/>
      <c r="D126" s="417">
        <v>12164</v>
      </c>
      <c r="E126" s="418"/>
      <c r="F126" s="417">
        <v>8906</v>
      </c>
      <c r="G126" s="418"/>
      <c r="H126" s="417">
        <v>9085</v>
      </c>
      <c r="I126" s="417">
        <v>6486</v>
      </c>
      <c r="J126" s="417">
        <v>6815</v>
      </c>
      <c r="K126" s="417">
        <v>6784</v>
      </c>
      <c r="L126" s="418"/>
      <c r="M126" s="417">
        <v>7132</v>
      </c>
      <c r="N126" s="417">
        <v>6411</v>
      </c>
      <c r="O126" s="417">
        <v>6866</v>
      </c>
      <c r="P126" s="417">
        <v>7448</v>
      </c>
      <c r="Q126" s="418"/>
      <c r="R126" s="417">
        <v>7759</v>
      </c>
      <c r="S126" s="417">
        <v>7662</v>
      </c>
      <c r="T126" s="417">
        <v>8367</v>
      </c>
      <c r="U126" s="417">
        <v>7966</v>
      </c>
      <c r="V126" s="418"/>
      <c r="W126" s="417">
        <v>8577</v>
      </c>
      <c r="X126" s="417">
        <v>7824</v>
      </c>
      <c r="Y126" s="417">
        <v>8315</v>
      </c>
      <c r="Z126" s="417">
        <v>8085</v>
      </c>
      <c r="AA126" s="418"/>
      <c r="AB126" s="417">
        <v>8256</v>
      </c>
      <c r="AC126" s="417">
        <v>7872</v>
      </c>
      <c r="AD126" s="417">
        <v>7762</v>
      </c>
      <c r="AE126" s="417">
        <v>7752</v>
      </c>
      <c r="AF126" s="418"/>
      <c r="AG126" s="417">
        <v>8290</v>
      </c>
      <c r="AH126" s="417">
        <v>8083</v>
      </c>
      <c r="AI126" s="417">
        <v>8759</v>
      </c>
      <c r="AJ126" s="417">
        <v>8150</v>
      </c>
      <c r="AK126" s="206"/>
      <c r="AL126" s="224"/>
      <c r="AM126" s="224"/>
      <c r="AN126" s="228"/>
    </row>
    <row r="127" spans="1:40" s="1" customFormat="1" ht="15" customHeight="1" x14ac:dyDescent="0.25">
      <c r="A127" s="114" t="str">
        <f>IF(Contents!$A$1=2,"Total equity","Итого капитал")</f>
        <v>Итого капитал</v>
      </c>
      <c r="B127" s="254" t="str">
        <f>IF(Contents!$A$1=2,"mln RUB","млн руб.")</f>
        <v>млн руб.</v>
      </c>
      <c r="C127" s="79"/>
      <c r="D127" s="462">
        <v>3049542</v>
      </c>
      <c r="E127" s="426"/>
      <c r="F127" s="462">
        <v>3231374</v>
      </c>
      <c r="G127" s="426"/>
      <c r="H127" s="462">
        <v>3258973</v>
      </c>
      <c r="I127" s="462">
        <v>3217244</v>
      </c>
      <c r="J127" s="462">
        <v>3270643</v>
      </c>
      <c r="K127" s="462">
        <v>3227664</v>
      </c>
      <c r="L127" s="426"/>
      <c r="M127" s="462">
        <v>3271506</v>
      </c>
      <c r="N127" s="462">
        <v>3345082</v>
      </c>
      <c r="O127" s="462">
        <v>3446596</v>
      </c>
      <c r="P127" s="462">
        <v>3490399</v>
      </c>
      <c r="Q127" s="426"/>
      <c r="R127" s="462">
        <v>3596403</v>
      </c>
      <c r="S127" s="462">
        <v>3730454</v>
      </c>
      <c r="T127" s="462">
        <v>3962075</v>
      </c>
      <c r="U127" s="462">
        <v>4073526</v>
      </c>
      <c r="V127" s="426"/>
      <c r="W127" s="462">
        <v>4056784</v>
      </c>
      <c r="X127" s="462">
        <v>3874952</v>
      </c>
      <c r="Y127" s="462">
        <v>4150109</v>
      </c>
      <c r="Z127" s="462">
        <v>3973449</v>
      </c>
      <c r="AA127" s="426"/>
      <c r="AB127" s="462">
        <v>4367597</v>
      </c>
      <c r="AC127" s="462">
        <v>3962448</v>
      </c>
      <c r="AD127" s="462">
        <v>4226623</v>
      </c>
      <c r="AE127" s="462">
        <v>4130766</v>
      </c>
      <c r="AF127" s="426"/>
      <c r="AG127" s="462">
        <v>4319449</v>
      </c>
      <c r="AH127" s="462">
        <v>4305738</v>
      </c>
      <c r="AI127" s="462">
        <v>4507186</v>
      </c>
      <c r="AJ127" s="462">
        <v>4523184</v>
      </c>
      <c r="AK127" s="206"/>
      <c r="AL127" s="224"/>
      <c r="AM127" s="224"/>
      <c r="AN127" s="222"/>
    </row>
    <row r="128" spans="1:40" s="1" customFormat="1" ht="15" customHeight="1" x14ac:dyDescent="0.25">
      <c r="A128" s="95"/>
      <c r="B128" s="262"/>
      <c r="C128" s="79"/>
      <c r="D128" s="463"/>
      <c r="E128" s="470"/>
      <c r="F128" s="463"/>
      <c r="G128" s="470"/>
      <c r="H128" s="463"/>
      <c r="I128" s="463"/>
      <c r="J128" s="463"/>
      <c r="K128" s="463"/>
      <c r="L128" s="470"/>
      <c r="M128" s="463"/>
      <c r="N128" s="463"/>
      <c r="O128" s="463"/>
      <c r="P128" s="463"/>
      <c r="Q128" s="470"/>
      <c r="R128" s="463"/>
      <c r="S128" s="463"/>
      <c r="T128" s="463"/>
      <c r="U128" s="463"/>
      <c r="V128" s="470"/>
      <c r="W128" s="463"/>
      <c r="X128" s="463"/>
      <c r="Y128" s="463"/>
      <c r="Z128" s="463"/>
      <c r="AA128" s="470"/>
      <c r="AB128" s="463"/>
      <c r="AC128" s="463"/>
      <c r="AD128" s="463"/>
      <c r="AE128" s="463"/>
      <c r="AF128" s="470"/>
      <c r="AG128" s="463"/>
      <c r="AH128" s="463"/>
      <c r="AI128" s="463"/>
      <c r="AJ128" s="463"/>
      <c r="AK128" s="206"/>
      <c r="AL128" s="224"/>
      <c r="AM128" s="224"/>
      <c r="AN128" s="222"/>
    </row>
    <row r="129" spans="1:40" s="1" customFormat="1" ht="15" customHeight="1" thickBot="1" x14ac:dyDescent="0.3">
      <c r="A129" s="118" t="str">
        <f>IF(Contents!$A$1=2,"Total liabilities and equity","Итого обязательства и капитал")</f>
        <v>Итого обязательства и капитал</v>
      </c>
      <c r="B129" s="263" t="str">
        <f>IF(Contents!$A$1=2,"mln RUB","млн руб.")</f>
        <v>млн руб.</v>
      </c>
      <c r="C129" s="79"/>
      <c r="D129" s="464">
        <v>4738953</v>
      </c>
      <c r="E129" s="467"/>
      <c r="F129" s="464">
        <v>5020607</v>
      </c>
      <c r="G129" s="467"/>
      <c r="H129" s="464">
        <v>4982254</v>
      </c>
      <c r="I129" s="464">
        <v>5046471</v>
      </c>
      <c r="J129" s="464">
        <v>4972564</v>
      </c>
      <c r="K129" s="464">
        <v>5014673</v>
      </c>
      <c r="L129" s="467"/>
      <c r="M129" s="464">
        <v>4813959</v>
      </c>
      <c r="N129" s="464">
        <v>4960480</v>
      </c>
      <c r="O129" s="464">
        <v>5031753</v>
      </c>
      <c r="P129" s="464">
        <v>5226215</v>
      </c>
      <c r="Q129" s="467"/>
      <c r="R129" s="464">
        <v>5205186</v>
      </c>
      <c r="S129" s="464">
        <v>5492067</v>
      </c>
      <c r="T129" s="464">
        <v>5713550</v>
      </c>
      <c r="U129" s="464">
        <v>5732382</v>
      </c>
      <c r="V129" s="467"/>
      <c r="W129" s="464">
        <v>5823274</v>
      </c>
      <c r="X129" s="464">
        <v>5898378</v>
      </c>
      <c r="Y129" s="464">
        <v>5848001</v>
      </c>
      <c r="Z129" s="464">
        <v>5947050</v>
      </c>
      <c r="AA129" s="467"/>
      <c r="AB129" s="464">
        <v>6127796</v>
      </c>
      <c r="AC129" s="464">
        <v>6002486</v>
      </c>
      <c r="AD129" s="464">
        <v>6195855</v>
      </c>
      <c r="AE129" s="464">
        <v>5991579</v>
      </c>
      <c r="AF129" s="467"/>
      <c r="AG129" s="464">
        <v>6378319</v>
      </c>
      <c r="AH129" s="464">
        <v>6508931</v>
      </c>
      <c r="AI129" s="464">
        <v>6634357</v>
      </c>
      <c r="AJ129" s="464">
        <v>6864749</v>
      </c>
      <c r="AK129" s="206"/>
      <c r="AL129" s="224"/>
      <c r="AM129" s="224"/>
      <c r="AN129" s="222"/>
    </row>
    <row r="130" spans="1:40" ht="15" customHeight="1" x14ac:dyDescent="0.25">
      <c r="A130" s="43"/>
      <c r="L130" s="221"/>
      <c r="AL130" s="224"/>
      <c r="AM130" s="224"/>
      <c r="AN130" s="222"/>
    </row>
    <row r="131" spans="1:40" ht="15" customHeight="1" x14ac:dyDescent="0.25">
      <c r="A131" s="51" t="str">
        <f>IF(Contents!$A$1=2,"Contents","Содержание")</f>
        <v>Содержание</v>
      </c>
      <c r="B131" s="247"/>
      <c r="AL131" s="224"/>
      <c r="AM131" s="224"/>
    </row>
  </sheetData>
  <conditionalFormatting sqref="E10:L10 E24:L24 E8:Q8 C11:L12 C24 C10 C8 C9:Q9 M10:Q12 A26:Q26 C25:L25 A7:Q7 AK8:AK26 A1:U6 A8:B25 Q13 C13 L13 G13 E13 A121:Q129 B120:Q120 A33:S66 T28:U28 V33:V66 AK28:AK66 A85:O85 A68:Q84 C14:L23 M14:Q25 A28:Q31 T31:U66 A32:C32 E32:G32 B86:Q86 A87:Q119 W28:AA66 AK1:XFD7 A130:AJ1048576 AL8:XFD1048576 AK68:AK1048576">
    <cfRule type="containsText" dxfId="1677" priority="205" operator="containsText" text="ложь">
      <formula>NOT(ISERROR(SEARCH("ложь",A1)))</formula>
    </cfRule>
  </conditionalFormatting>
  <conditionalFormatting sqref="A27:Q27 AK27">
    <cfRule type="containsText" dxfId="1676" priority="199" operator="containsText" text="ложь">
      <formula>NOT(ISERROR(SEARCH("ложь",A27)))</formula>
    </cfRule>
  </conditionalFormatting>
  <conditionalFormatting sqref="A67:Q67 AK67">
    <cfRule type="containsText" dxfId="1675" priority="198" operator="containsText" text="ложь">
      <formula>NOT(ISERROR(SEARCH("ложь",A67)))</formula>
    </cfRule>
  </conditionalFormatting>
  <conditionalFormatting sqref="R28 R68 R7:U7 R8:R9 T68:U68 T8:U14 R11:R14 T92:U98 T91 T87:U90 R87:R98 T70:U84 R70:R84 R17:R26 T17:U26 R31 R102:R129 T102:U129">
    <cfRule type="containsText" dxfId="1674" priority="197" operator="containsText" text="ложь">
      <formula>NOT(ISERROR(SEARCH("ложь",R7)))</formula>
    </cfRule>
  </conditionalFormatting>
  <conditionalFormatting sqref="R27 T27:U27">
    <cfRule type="containsText" dxfId="1673" priority="196" operator="containsText" text="ложь">
      <formula>NOT(ISERROR(SEARCH("ложь",R27)))</formula>
    </cfRule>
  </conditionalFormatting>
  <conditionalFormatting sqref="R67 T67:U67">
    <cfRule type="containsText" dxfId="1672" priority="195" operator="containsText" text="ложь">
      <formula>NOT(ISERROR(SEARCH("ложь",R67)))</formula>
    </cfRule>
  </conditionalFormatting>
  <conditionalFormatting sqref="R10">
    <cfRule type="containsText" dxfId="1671" priority="194" operator="containsText" text="ложь">
      <formula>NOT(ISERROR(SEARCH("ложь",R10)))</formula>
    </cfRule>
  </conditionalFormatting>
  <conditionalFormatting sqref="L32 P32:Q32">
    <cfRule type="containsText" dxfId="1670" priority="193" operator="containsText" text="ложь">
      <formula>NOT(ISERROR(SEARCH("ложь",L32)))</formula>
    </cfRule>
  </conditionalFormatting>
  <conditionalFormatting sqref="R32">
    <cfRule type="containsText" dxfId="1669" priority="192" operator="containsText" text="ложь">
      <formula>NOT(ISERROR(SEARCH("ложь",R32)))</formula>
    </cfRule>
  </conditionalFormatting>
  <conditionalFormatting sqref="S28 S68 S8:S9 S11:S14 S87:S98 S70:S84 S17:S26 S31 S102:S129">
    <cfRule type="containsText" dxfId="1668" priority="191" operator="containsText" text="ложь">
      <formula>NOT(ISERROR(SEARCH("ложь",S8)))</formula>
    </cfRule>
  </conditionalFormatting>
  <conditionalFormatting sqref="S27">
    <cfRule type="containsText" dxfId="1667" priority="190" operator="containsText" text="ложь">
      <formula>NOT(ISERROR(SEARCH("ложь",S27)))</formula>
    </cfRule>
  </conditionalFormatting>
  <conditionalFormatting sqref="S67">
    <cfRule type="containsText" dxfId="1666" priority="189" operator="containsText" text="ложь">
      <formula>NOT(ISERROR(SEARCH("ложь",S67)))</formula>
    </cfRule>
  </conditionalFormatting>
  <conditionalFormatting sqref="S10">
    <cfRule type="containsText" dxfId="1665" priority="188" operator="containsText" text="ложь">
      <formula>NOT(ISERROR(SEARCH("ложь",S10)))</formula>
    </cfRule>
  </conditionalFormatting>
  <conditionalFormatting sqref="S32">
    <cfRule type="containsText" dxfId="1664" priority="187" operator="containsText" text="ложь">
      <formula>NOT(ISERROR(SEARCH("ложь",S32)))</formula>
    </cfRule>
  </conditionalFormatting>
  <conditionalFormatting sqref="P13">
    <cfRule type="containsText" dxfId="1663" priority="186" operator="containsText" text="ложь">
      <formula>NOT(ISERROR(SEARCH("ложь",P13)))</formula>
    </cfRule>
  </conditionalFormatting>
  <conditionalFormatting sqref="O13">
    <cfRule type="containsText" dxfId="1662" priority="185" operator="containsText" text="ложь">
      <formula>NOT(ISERROR(SEARCH("ложь",O13)))</formula>
    </cfRule>
  </conditionalFormatting>
  <conditionalFormatting sqref="N13">
    <cfRule type="containsText" dxfId="1661" priority="184" operator="containsText" text="ложь">
      <formula>NOT(ISERROR(SEARCH("ложь",N13)))</formula>
    </cfRule>
  </conditionalFormatting>
  <conditionalFormatting sqref="M13">
    <cfRule type="containsText" dxfId="1660" priority="183" operator="containsText" text="ложь">
      <formula>NOT(ISERROR(SEARCH("ложь",M13)))</formula>
    </cfRule>
  </conditionalFormatting>
  <conditionalFormatting sqref="K13">
    <cfRule type="containsText" dxfId="1659" priority="182" operator="containsText" text="ложь">
      <formula>NOT(ISERROR(SEARCH("ложь",K13)))</formula>
    </cfRule>
  </conditionalFormatting>
  <conditionalFormatting sqref="D13">
    <cfRule type="containsText" dxfId="1658" priority="177" operator="containsText" text="ложь">
      <formula>NOT(ISERROR(SEARCH("ложь",D13)))</formula>
    </cfRule>
  </conditionalFormatting>
  <conditionalFormatting sqref="V28:V31 V68:V129 V7:V26 V1:AJ6">
    <cfRule type="containsText" dxfId="1657" priority="176" operator="containsText" text="ложь">
      <formula>NOT(ISERROR(SEARCH("ложь",V1)))</formula>
    </cfRule>
  </conditionalFormatting>
  <conditionalFormatting sqref="V27">
    <cfRule type="containsText" dxfId="1656" priority="175" operator="containsText" text="ложь">
      <formula>NOT(ISERROR(SEARCH("ложь",V27)))</formula>
    </cfRule>
  </conditionalFormatting>
  <conditionalFormatting sqref="F13">
    <cfRule type="containsText" dxfId="1655" priority="178" operator="containsText" text="ложь">
      <formula>NOT(ISERROR(SEARCH("ложь",F13)))</formula>
    </cfRule>
  </conditionalFormatting>
  <conditionalFormatting sqref="V67">
    <cfRule type="containsText" dxfId="1654" priority="174" operator="containsText" text="ложь">
      <formula>NOT(ISERROR(SEARCH("ложь",V67)))</formula>
    </cfRule>
  </conditionalFormatting>
  <conditionalFormatting sqref="W8:W9 Y8:AA9 W7:AJ7">
    <cfRule type="containsText" dxfId="1653" priority="173" operator="containsText" text="ложь">
      <formula>NOT(ISERROR(SEARCH("ложь",W7)))</formula>
    </cfRule>
  </conditionalFormatting>
  <conditionalFormatting sqref="V32">
    <cfRule type="containsText" dxfId="1652" priority="169" operator="containsText" text="ложь">
      <formula>NOT(ISERROR(SEARCH("ложь",V32)))</formula>
    </cfRule>
  </conditionalFormatting>
  <conditionalFormatting sqref="X8:X9">
    <cfRule type="containsText" dxfId="1651" priority="167" operator="containsText" text="ложь">
      <formula>NOT(ISERROR(SEARCH("ложь",X8)))</formula>
    </cfRule>
  </conditionalFormatting>
  <conditionalFormatting sqref="W10:X14 W68:X84 W102:X129 W87:X98 X86 W17:X26">
    <cfRule type="containsText" dxfId="1650" priority="162" operator="containsText" text="ложь">
      <formula>NOT(ISERROR(SEARCH("ложь",W10)))</formula>
    </cfRule>
  </conditionalFormatting>
  <conditionalFormatting sqref="W27:X27">
    <cfRule type="containsText" dxfId="1649" priority="161" operator="containsText" text="ложь">
      <formula>NOT(ISERROR(SEARCH("ложь",W27)))</formula>
    </cfRule>
  </conditionalFormatting>
  <conditionalFormatting sqref="W67:X67">
    <cfRule type="containsText" dxfId="1648" priority="160" operator="containsText" text="ложь">
      <formula>NOT(ISERROR(SEARCH("ложь",W67)))</formula>
    </cfRule>
  </conditionalFormatting>
  <conditionalFormatting sqref="A120">
    <cfRule type="containsText" dxfId="1647" priority="159" operator="containsText" text="ложь">
      <formula>NOT(ISERROR(SEARCH("ложь",A120)))</formula>
    </cfRule>
  </conditionalFormatting>
  <conditionalFormatting sqref="A86">
    <cfRule type="containsText" dxfId="1646" priority="158" operator="containsText" text="ложь">
      <formula>NOT(ISERROR(SEARCH("ложь",A86)))</formula>
    </cfRule>
  </conditionalFormatting>
  <conditionalFormatting sqref="Y10:AA14 Y68:AA84 Y122:AA129 Y121 AA121 Y87:AA98 Z86:AA86 Y17:AA26 AA15:AA16 AA85 Y102:AA120 AA99:AA101">
    <cfRule type="containsText" dxfId="1645" priority="157" operator="containsText" text="ложь">
      <formula>NOT(ISERROR(SEARCH("ложь",Y10)))</formula>
    </cfRule>
  </conditionalFormatting>
  <conditionalFormatting sqref="Y27:AA27">
    <cfRule type="containsText" dxfId="1644" priority="156" operator="containsText" text="ложь">
      <formula>NOT(ISERROR(SEARCH("ложь",Y27)))</formula>
    </cfRule>
  </conditionalFormatting>
  <conditionalFormatting sqref="Y67:AA67">
    <cfRule type="containsText" dxfId="1643" priority="155" operator="containsText" text="ложь">
      <formula>NOT(ISERROR(SEARCH("ложь",Y67)))</formula>
    </cfRule>
  </conditionalFormatting>
  <conditionalFormatting sqref="AB8:AB9 AD8:AF9">
    <cfRule type="containsText" dxfId="1642" priority="154" operator="containsText" text="ложь">
      <formula>NOT(ISERROR(SEARCH("ложь",AB8)))</formula>
    </cfRule>
  </conditionalFormatting>
  <conditionalFormatting sqref="AC8:AC9">
    <cfRule type="containsText" dxfId="1641" priority="153" operator="containsText" text="ложь">
      <formula>NOT(ISERROR(SEARCH("ложь",AC8)))</formula>
    </cfRule>
  </conditionalFormatting>
  <conditionalFormatting sqref="AF28:AF66">
    <cfRule type="containsText" dxfId="1640" priority="134" operator="containsText" text="ложь">
      <formula>NOT(ISERROR(SEARCH("ложь",AF28)))</formula>
    </cfRule>
  </conditionalFormatting>
  <conditionalFormatting sqref="AF68:AF129 AF17:AF26">
    <cfRule type="containsText" dxfId="1639" priority="133" operator="containsText" text="ложь">
      <formula>NOT(ISERROR(SEARCH("ложь",AF17)))</formula>
    </cfRule>
  </conditionalFormatting>
  <conditionalFormatting sqref="AF27">
    <cfRule type="containsText" dxfId="1638" priority="132" operator="containsText" text="ложь">
      <formula>NOT(ISERROR(SEARCH("ложь",AF27)))</formula>
    </cfRule>
  </conditionalFormatting>
  <conditionalFormatting sqref="AF15:AF16">
    <cfRule type="containsText" dxfId="1637" priority="149" operator="containsText" text="ложь">
      <formula>NOT(ISERROR(SEARCH("ложь",AF15)))</formula>
    </cfRule>
  </conditionalFormatting>
  <conditionalFormatting sqref="AH8:AH9">
    <cfRule type="containsText" dxfId="1636" priority="128" operator="containsText" text="ложь">
      <formula>NOT(ISERROR(SEARCH("ложь",AH8)))</formula>
    </cfRule>
  </conditionalFormatting>
  <conditionalFormatting sqref="D24">
    <cfRule type="containsText" dxfId="1635" priority="145" operator="containsText" text="ложь">
      <formula>NOT(ISERROR(SEARCH("ложь",D24)))</formula>
    </cfRule>
  </conditionalFormatting>
  <conditionalFormatting sqref="AJ10">
    <cfRule type="containsText" dxfId="1634" priority="116" operator="containsText" text="ложь">
      <formula>NOT(ISERROR(SEARCH("ложь",AJ10)))</formula>
    </cfRule>
  </conditionalFormatting>
  <conditionalFormatting sqref="AJ28:AJ66">
    <cfRule type="containsText" dxfId="1633" priority="115" operator="containsText" text="ложь">
      <formula>NOT(ISERROR(SEARCH("ложь",AJ28)))</formula>
    </cfRule>
  </conditionalFormatting>
  <conditionalFormatting sqref="AJ68:AJ70 AJ17:AJ26">
    <cfRule type="containsText" dxfId="1632" priority="114" operator="containsText" text="ложь">
      <formula>NOT(ISERROR(SEARCH("ложь",AJ17)))</formula>
    </cfRule>
  </conditionalFormatting>
  <conditionalFormatting sqref="AJ27">
    <cfRule type="containsText" dxfId="1631" priority="113" operator="containsText" text="ложь">
      <formula>NOT(ISERROR(SEARCH("ложь",AJ27)))</formula>
    </cfRule>
  </conditionalFormatting>
  <conditionalFormatting sqref="AJ67">
    <cfRule type="containsText" dxfId="1630" priority="112" operator="containsText" text="ложь">
      <formula>NOT(ISERROR(SEARCH("ложь",AJ67)))</formula>
    </cfRule>
  </conditionalFormatting>
  <conditionalFormatting sqref="U91">
    <cfRule type="containsText" dxfId="1629" priority="138" operator="containsText" text="ложь">
      <formula>NOT(ISERROR(SEARCH("ложь",U91)))</formula>
    </cfRule>
  </conditionalFormatting>
  <conditionalFormatting sqref="Z121">
    <cfRule type="containsText" dxfId="1628" priority="137" operator="containsText" text="ложь">
      <formula>NOT(ISERROR(SEARCH("ложь",Z121)))</formula>
    </cfRule>
  </conditionalFormatting>
  <conditionalFormatting sqref="AF11:AF14">
    <cfRule type="containsText" dxfId="1627" priority="136" operator="containsText" text="ложь">
      <formula>NOT(ISERROR(SEARCH("ложь",AF11)))</formula>
    </cfRule>
  </conditionalFormatting>
  <conditionalFormatting sqref="AF10">
    <cfRule type="containsText" dxfId="1626" priority="135" operator="containsText" text="ложь">
      <formula>NOT(ISERROR(SEARCH("ложь",AF10)))</formula>
    </cfRule>
  </conditionalFormatting>
  <conditionalFormatting sqref="AF67">
    <cfRule type="containsText" dxfId="1625" priority="131" operator="containsText" text="ложь">
      <formula>NOT(ISERROR(SEARCH("ложь",AF67)))</formula>
    </cfRule>
  </conditionalFormatting>
  <conditionalFormatting sqref="AD67">
    <cfRule type="containsText" dxfId="1624" priority="42" operator="containsText" text="ложь">
      <formula>NOT(ISERROR(SEARCH("ложь",AD67)))</formula>
    </cfRule>
  </conditionalFormatting>
  <conditionalFormatting sqref="AD28:AD66">
    <cfRule type="containsText" dxfId="1623" priority="45" operator="containsText" text="ложь">
      <formula>NOT(ISERROR(SEARCH("ложь",AD28)))</formula>
    </cfRule>
  </conditionalFormatting>
  <conditionalFormatting sqref="AG8:AG9 AI8:AJ9">
    <cfRule type="containsText" dxfId="1622" priority="129" operator="containsText" text="ложь">
      <formula>NOT(ISERROR(SEARCH("ложь",AG8)))</formula>
    </cfRule>
  </conditionalFormatting>
  <conditionalFormatting sqref="AE67">
    <cfRule type="containsText" dxfId="1621" priority="52" operator="containsText" text="ложь">
      <formula>NOT(ISERROR(SEARCH("ложь",AE67)))</formula>
    </cfRule>
  </conditionalFormatting>
  <conditionalFormatting sqref="AE71:AE84 AE87:AE129">
    <cfRule type="containsText" dxfId="1620" priority="51" operator="containsText" text="ложь">
      <formula>NOT(ISERROR(SEARCH("ложь",AE71)))</formula>
    </cfRule>
  </conditionalFormatting>
  <conditionalFormatting sqref="AJ15:AJ16">
    <cfRule type="containsText" dxfId="1619" priority="124" operator="containsText" text="ложь">
      <formula>NOT(ISERROR(SEARCH("ложь",AJ15)))</formula>
    </cfRule>
  </conditionalFormatting>
  <conditionalFormatting sqref="AE27">
    <cfRule type="containsText" dxfId="1618" priority="53" operator="containsText" text="ложь">
      <formula>NOT(ISERROR(SEARCH("ложь",AE27)))</formula>
    </cfRule>
  </conditionalFormatting>
  <conditionalFormatting sqref="AE68:AE70 AE17:AE26">
    <cfRule type="containsText" dxfId="1617" priority="54" operator="containsText" text="ложь">
      <formula>NOT(ISERROR(SEARCH("ложь",AE17)))</formula>
    </cfRule>
  </conditionalFormatting>
  <conditionalFormatting sqref="AJ11:AJ14">
    <cfRule type="containsText" dxfId="1616" priority="117" operator="containsText" text="ложь">
      <formula>NOT(ISERROR(SEARCH("ложь",AJ11)))</formula>
    </cfRule>
  </conditionalFormatting>
  <conditionalFormatting sqref="AD10">
    <cfRule type="containsText" dxfId="1615" priority="46" operator="containsText" text="ложь">
      <formula>NOT(ISERROR(SEARCH("ложь",AD10)))</formula>
    </cfRule>
  </conditionalFormatting>
  <conditionalFormatting sqref="AE86">
    <cfRule type="containsText" dxfId="1614" priority="49" operator="containsText" text="ложь">
      <formula>NOT(ISERROR(SEARCH("ложь",AE86)))</formula>
    </cfRule>
  </conditionalFormatting>
  <conditionalFormatting sqref="AD15:AD16">
    <cfRule type="containsText" dxfId="1613" priority="48" operator="containsText" text="ложь">
      <formula>NOT(ISERROR(SEARCH("ложь",AD15)))</formula>
    </cfRule>
  </conditionalFormatting>
  <conditionalFormatting sqref="AD11:AD14">
    <cfRule type="containsText" dxfId="1612" priority="47" operator="containsText" text="ложь">
      <formula>NOT(ISERROR(SEARCH("ложь",AD11)))</formula>
    </cfRule>
  </conditionalFormatting>
  <conditionalFormatting sqref="AC68:AC70 AC17:AC26">
    <cfRule type="containsText" dxfId="1611" priority="34" operator="containsText" text="ложь">
      <formula>NOT(ISERROR(SEARCH("ложь",AC17)))</formula>
    </cfRule>
  </conditionalFormatting>
  <conditionalFormatting sqref="AJ71:AJ84 AJ87:AJ129">
    <cfRule type="containsText" dxfId="1610" priority="101" operator="containsText" text="ложь">
      <formula>NOT(ISERROR(SEARCH("ложь",AJ71)))</formula>
    </cfRule>
  </conditionalFormatting>
  <conditionalFormatting sqref="AB11:AB14">
    <cfRule type="containsText" dxfId="1609" priority="27" operator="containsText" text="ложь">
      <formula>NOT(ISERROR(SEARCH("ложь",AB11)))</formula>
    </cfRule>
  </conditionalFormatting>
  <conditionalFormatting sqref="AC15:AC16">
    <cfRule type="containsText" dxfId="1608" priority="38" operator="containsText" text="ложь">
      <formula>NOT(ISERROR(SEARCH("ложь",AC15)))</formula>
    </cfRule>
  </conditionalFormatting>
  <conditionalFormatting sqref="AJ85">
    <cfRule type="containsText" dxfId="1607" priority="94" operator="containsText" text="ложь">
      <formula>NOT(ISERROR(SEARCH("ложь",AJ85)))</formula>
    </cfRule>
  </conditionalFormatting>
  <conditionalFormatting sqref="AJ86">
    <cfRule type="containsText" dxfId="1606" priority="93" operator="containsText" text="ложь">
      <formula>NOT(ISERROR(SEARCH("ложь",AJ86)))</formula>
    </cfRule>
  </conditionalFormatting>
  <conditionalFormatting sqref="AH68:AH70 AH17:AH26">
    <cfRule type="containsText" dxfId="1605" priority="74" operator="containsText" text="ложь">
      <formula>NOT(ISERROR(SEARCH("ложь",AH17)))</formula>
    </cfRule>
  </conditionalFormatting>
  <conditionalFormatting sqref="P85:U85">
    <cfRule type="containsText" dxfId="1604" priority="91" operator="containsText" text="ложь">
      <formula>NOT(ISERROR(SEARCH("ложь",P85)))</formula>
    </cfRule>
  </conditionalFormatting>
  <conditionalFormatting sqref="Y86">
    <cfRule type="containsText" dxfId="1603" priority="89" operator="containsText" text="ложь">
      <formula>NOT(ISERROR(SEARCH("ложь",Y86)))</formula>
    </cfRule>
  </conditionalFormatting>
  <conditionalFormatting sqref="AI15:AI16">
    <cfRule type="containsText" dxfId="1602" priority="88" operator="containsText" text="ложь">
      <formula>NOT(ISERROR(SEARCH("ложь",AI15)))</formula>
    </cfRule>
  </conditionalFormatting>
  <conditionalFormatting sqref="AI68:AI70 AI17:AI26">
    <cfRule type="containsText" dxfId="1601" priority="84" operator="containsText" text="ложь">
      <formula>NOT(ISERROR(SEARCH("ложь",AI17)))</formula>
    </cfRule>
  </conditionalFormatting>
  <conditionalFormatting sqref="AI11:AI14">
    <cfRule type="containsText" dxfId="1600" priority="87" operator="containsText" text="ложь">
      <formula>NOT(ISERROR(SEARCH("ложь",AI11)))</formula>
    </cfRule>
  </conditionalFormatting>
  <conditionalFormatting sqref="AI10">
    <cfRule type="containsText" dxfId="1599" priority="86" operator="containsText" text="ложь">
      <formula>NOT(ISERROR(SEARCH("ложь",AI10)))</formula>
    </cfRule>
  </conditionalFormatting>
  <conditionalFormatting sqref="AI28:AI66">
    <cfRule type="containsText" dxfId="1598" priority="85" operator="containsText" text="ложь">
      <formula>NOT(ISERROR(SEARCH("ложь",AI28)))</formula>
    </cfRule>
  </conditionalFormatting>
  <conditionalFormatting sqref="AI27">
    <cfRule type="containsText" dxfId="1597" priority="83" operator="containsText" text="ложь">
      <formula>NOT(ISERROR(SEARCH("ложь",AI27)))</formula>
    </cfRule>
  </conditionalFormatting>
  <conditionalFormatting sqref="AI67">
    <cfRule type="containsText" dxfId="1596" priority="82" operator="containsText" text="ложь">
      <formula>NOT(ISERROR(SEARCH("ложь",AI67)))</formula>
    </cfRule>
  </conditionalFormatting>
  <conditionalFormatting sqref="AI71:AI84 AI87:AI129">
    <cfRule type="containsText" dxfId="1595" priority="81" operator="containsText" text="ложь">
      <formula>NOT(ISERROR(SEARCH("ложь",AI71)))</formula>
    </cfRule>
  </conditionalFormatting>
  <conditionalFormatting sqref="AI85">
    <cfRule type="containsText" dxfId="1594" priority="80" operator="containsText" text="ложь">
      <formula>NOT(ISERROR(SEARCH("ложь",AI85)))</formula>
    </cfRule>
  </conditionalFormatting>
  <conditionalFormatting sqref="AI86">
    <cfRule type="containsText" dxfId="1593" priority="79" operator="containsText" text="ложь">
      <formula>NOT(ISERROR(SEARCH("ложь",AI86)))</formula>
    </cfRule>
  </conditionalFormatting>
  <conditionalFormatting sqref="AH15:AH16">
    <cfRule type="containsText" dxfId="1592" priority="78" operator="containsText" text="ложь">
      <formula>NOT(ISERROR(SEARCH("ложь",AH15)))</formula>
    </cfRule>
  </conditionalFormatting>
  <conditionalFormatting sqref="AH11:AH14">
    <cfRule type="containsText" dxfId="1591" priority="77" operator="containsText" text="ложь">
      <formula>NOT(ISERROR(SEARCH("ложь",AH11)))</formula>
    </cfRule>
  </conditionalFormatting>
  <conditionalFormatting sqref="AH10">
    <cfRule type="containsText" dxfId="1590" priority="76" operator="containsText" text="ложь">
      <formula>NOT(ISERROR(SEARCH("ложь",AH10)))</formula>
    </cfRule>
  </conditionalFormatting>
  <conditionalFormatting sqref="AH28:AH66">
    <cfRule type="containsText" dxfId="1589" priority="75" operator="containsText" text="ложь">
      <formula>NOT(ISERROR(SEARCH("ложь",AH28)))</formula>
    </cfRule>
  </conditionalFormatting>
  <conditionalFormatting sqref="AH27">
    <cfRule type="containsText" dxfId="1588" priority="73" operator="containsText" text="ложь">
      <formula>NOT(ISERROR(SEARCH("ложь",AH27)))</formula>
    </cfRule>
  </conditionalFormatting>
  <conditionalFormatting sqref="AH67">
    <cfRule type="containsText" dxfId="1587" priority="72" operator="containsText" text="ложь">
      <formula>NOT(ISERROR(SEARCH("ложь",AH67)))</formula>
    </cfRule>
  </conditionalFormatting>
  <conditionalFormatting sqref="AH71:AH84 AH87:AH129">
    <cfRule type="containsText" dxfId="1586" priority="71" operator="containsText" text="ложь">
      <formula>NOT(ISERROR(SEARCH("ложь",AH71)))</formula>
    </cfRule>
  </conditionalFormatting>
  <conditionalFormatting sqref="AH85">
    <cfRule type="containsText" dxfId="1585" priority="70" operator="containsText" text="ложь">
      <formula>NOT(ISERROR(SEARCH("ложь",AH85)))</formula>
    </cfRule>
  </conditionalFormatting>
  <conditionalFormatting sqref="AH86">
    <cfRule type="containsText" dxfId="1584" priority="69" operator="containsText" text="ложь">
      <formula>NOT(ISERROR(SEARCH("ложь",AH86)))</formula>
    </cfRule>
  </conditionalFormatting>
  <conditionalFormatting sqref="AG15:AG16">
    <cfRule type="containsText" dxfId="1583" priority="68" operator="containsText" text="ложь">
      <formula>NOT(ISERROR(SEARCH("ложь",AG15)))</formula>
    </cfRule>
  </conditionalFormatting>
  <conditionalFormatting sqref="AG68:AG70 AG17:AG26">
    <cfRule type="containsText" dxfId="1582" priority="64" operator="containsText" text="ложь">
      <formula>NOT(ISERROR(SEARCH("ложь",AG17)))</formula>
    </cfRule>
  </conditionalFormatting>
  <conditionalFormatting sqref="AG11:AG14">
    <cfRule type="containsText" dxfId="1581" priority="67" operator="containsText" text="ложь">
      <formula>NOT(ISERROR(SEARCH("ложь",AG11)))</formula>
    </cfRule>
  </conditionalFormatting>
  <conditionalFormatting sqref="AG10">
    <cfRule type="containsText" dxfId="1580" priority="66" operator="containsText" text="ложь">
      <formula>NOT(ISERROR(SEARCH("ложь",AG10)))</formula>
    </cfRule>
  </conditionalFormatting>
  <conditionalFormatting sqref="AG28:AG66">
    <cfRule type="containsText" dxfId="1579" priority="65" operator="containsText" text="ложь">
      <formula>NOT(ISERROR(SEARCH("ложь",AG28)))</formula>
    </cfRule>
  </conditionalFormatting>
  <conditionalFormatting sqref="AG27">
    <cfRule type="containsText" dxfId="1578" priority="63" operator="containsText" text="ложь">
      <formula>NOT(ISERROR(SEARCH("ложь",AG27)))</formula>
    </cfRule>
  </conditionalFormatting>
  <conditionalFormatting sqref="AG67">
    <cfRule type="containsText" dxfId="1577" priority="62" operator="containsText" text="ложь">
      <formula>NOT(ISERROR(SEARCH("ложь",AG67)))</formula>
    </cfRule>
  </conditionalFormatting>
  <conditionalFormatting sqref="AG71:AG84 AG87:AG129">
    <cfRule type="containsText" dxfId="1576" priority="61" operator="containsText" text="ложь">
      <formula>NOT(ISERROR(SEARCH("ложь",AG71)))</formula>
    </cfRule>
  </conditionalFormatting>
  <conditionalFormatting sqref="AG85">
    <cfRule type="containsText" dxfId="1575" priority="60" operator="containsText" text="ложь">
      <formula>NOT(ISERROR(SEARCH("ложь",AG85)))</formula>
    </cfRule>
  </conditionalFormatting>
  <conditionalFormatting sqref="AG86">
    <cfRule type="containsText" dxfId="1574" priority="59" operator="containsText" text="ложь">
      <formula>NOT(ISERROR(SEARCH("ложь",AG86)))</formula>
    </cfRule>
  </conditionalFormatting>
  <conditionalFormatting sqref="AE15:AE16">
    <cfRule type="containsText" dxfId="1573" priority="58" operator="containsText" text="ложь">
      <formula>NOT(ISERROR(SEARCH("ложь",AE15)))</formula>
    </cfRule>
  </conditionalFormatting>
  <conditionalFormatting sqref="AE11:AE14">
    <cfRule type="containsText" dxfId="1572" priority="57" operator="containsText" text="ложь">
      <formula>NOT(ISERROR(SEARCH("ложь",AE11)))</formula>
    </cfRule>
  </conditionalFormatting>
  <conditionalFormatting sqref="AE10">
    <cfRule type="containsText" dxfId="1571" priority="56" operator="containsText" text="ложь">
      <formula>NOT(ISERROR(SEARCH("ложь",AE10)))</formula>
    </cfRule>
  </conditionalFormatting>
  <conditionalFormatting sqref="AE28:AE66">
    <cfRule type="containsText" dxfId="1570" priority="55" operator="containsText" text="ложь">
      <formula>NOT(ISERROR(SEARCH("ложь",AE28)))</formula>
    </cfRule>
  </conditionalFormatting>
  <conditionalFormatting sqref="AD68:AD70 AD17:AD26">
    <cfRule type="containsText" dxfId="1569" priority="44" operator="containsText" text="ложь">
      <formula>NOT(ISERROR(SEARCH("ложь",AD17)))</formula>
    </cfRule>
  </conditionalFormatting>
  <conditionalFormatting sqref="AD27">
    <cfRule type="containsText" dxfId="1568" priority="43" operator="containsText" text="ложь">
      <formula>NOT(ISERROR(SEARCH("ложь",AD27)))</formula>
    </cfRule>
  </conditionalFormatting>
  <conditionalFormatting sqref="AD71:AD84 AD87:AD129">
    <cfRule type="containsText" dxfId="1567" priority="41" operator="containsText" text="ложь">
      <formula>NOT(ISERROR(SEARCH("ложь",AD71)))</formula>
    </cfRule>
  </conditionalFormatting>
  <conditionalFormatting sqref="AC27">
    <cfRule type="containsText" dxfId="1566" priority="33" operator="containsText" text="ложь">
      <formula>NOT(ISERROR(SEARCH("ложь",AC27)))</formula>
    </cfRule>
  </conditionalFormatting>
  <conditionalFormatting sqref="AD86">
    <cfRule type="containsText" dxfId="1565" priority="39" operator="containsText" text="ложь">
      <formula>NOT(ISERROR(SEARCH("ложь",AD86)))</formula>
    </cfRule>
  </conditionalFormatting>
  <conditionalFormatting sqref="AC11:AC14">
    <cfRule type="containsText" dxfId="1564" priority="37" operator="containsText" text="ложь">
      <formula>NOT(ISERROR(SEARCH("ложь",AC11)))</formula>
    </cfRule>
  </conditionalFormatting>
  <conditionalFormatting sqref="AC10">
    <cfRule type="containsText" dxfId="1563" priority="36" operator="containsText" text="ложь">
      <formula>NOT(ISERROR(SEARCH("ложь",AC10)))</formula>
    </cfRule>
  </conditionalFormatting>
  <conditionalFormatting sqref="AC28:AC66">
    <cfRule type="containsText" dxfId="1562" priority="35" operator="containsText" text="ложь">
      <formula>NOT(ISERROR(SEARCH("ложь",AC28)))</formula>
    </cfRule>
  </conditionalFormatting>
  <conditionalFormatting sqref="AC67">
    <cfRule type="containsText" dxfId="1561" priority="32" operator="containsText" text="ложь">
      <formula>NOT(ISERROR(SEARCH("ложь",AC67)))</formula>
    </cfRule>
  </conditionalFormatting>
  <conditionalFormatting sqref="AC71:AC84 AC87:AC129">
    <cfRule type="containsText" dxfId="1560" priority="31" operator="containsText" text="ложь">
      <formula>NOT(ISERROR(SEARCH("ложь",AC71)))</formula>
    </cfRule>
  </conditionalFormatting>
  <conditionalFormatting sqref="AB27">
    <cfRule type="containsText" dxfId="1559" priority="23" operator="containsText" text="ложь">
      <formula>NOT(ISERROR(SEARCH("ложь",AB27)))</formula>
    </cfRule>
  </conditionalFormatting>
  <conditionalFormatting sqref="AC86">
    <cfRule type="containsText" dxfId="1558" priority="29" operator="containsText" text="ложь">
      <formula>NOT(ISERROR(SEARCH("ложь",AC86)))</formula>
    </cfRule>
  </conditionalFormatting>
  <conditionalFormatting sqref="AB15:AB16">
    <cfRule type="containsText" dxfId="1557" priority="28" operator="containsText" text="ложь">
      <formula>NOT(ISERROR(SEARCH("ложь",AB15)))</formula>
    </cfRule>
  </conditionalFormatting>
  <conditionalFormatting sqref="AB68:AB70 AB17:AB26">
    <cfRule type="containsText" dxfId="1556" priority="24" operator="containsText" text="ложь">
      <formula>NOT(ISERROR(SEARCH("ложь",AB17)))</formula>
    </cfRule>
  </conditionalFormatting>
  <conditionalFormatting sqref="AB10">
    <cfRule type="containsText" dxfId="1555" priority="26" operator="containsText" text="ложь">
      <formula>NOT(ISERROR(SEARCH("ложь",AB10)))</formula>
    </cfRule>
  </conditionalFormatting>
  <conditionalFormatting sqref="AB28:AB66">
    <cfRule type="containsText" dxfId="1554" priority="25" operator="containsText" text="ложь">
      <formula>NOT(ISERROR(SEARCH("ложь",AB28)))</formula>
    </cfRule>
  </conditionalFormatting>
  <conditionalFormatting sqref="AB67">
    <cfRule type="containsText" dxfId="1553" priority="22" operator="containsText" text="ложь">
      <formula>NOT(ISERROR(SEARCH("ложь",AB67)))</formula>
    </cfRule>
  </conditionalFormatting>
  <conditionalFormatting sqref="AB71:AB84 AB87:AB129">
    <cfRule type="containsText" dxfId="1552" priority="21" operator="containsText" text="ложь">
      <formula>NOT(ISERROR(SEARCH("ложь",AB71)))</formula>
    </cfRule>
  </conditionalFormatting>
  <conditionalFormatting sqref="R15:U16">
    <cfRule type="containsText" dxfId="1551" priority="13" operator="containsText" text="ложь">
      <formula>NOT(ISERROR(SEARCH("ложь",R15)))</formula>
    </cfRule>
  </conditionalFormatting>
  <conditionalFormatting sqref="AB86">
    <cfRule type="containsText" dxfId="1550" priority="19" operator="containsText" text="ложь">
      <formula>NOT(ISERROR(SEARCH("ложь",AB86)))</formula>
    </cfRule>
  </conditionalFormatting>
  <conditionalFormatting sqref="Z15:Z16">
    <cfRule type="containsText" dxfId="1549" priority="12" operator="containsText" text="ложь">
      <formula>NOT(ISERROR(SEARCH("ложь",Z15)))</formula>
    </cfRule>
  </conditionalFormatting>
  <conditionalFormatting sqref="R69:U69">
    <cfRule type="containsText" dxfId="1548" priority="15" operator="containsText" text="ложь">
      <formula>NOT(ISERROR(SEARCH("ложь",R69)))</formula>
    </cfRule>
  </conditionalFormatting>
  <conditionalFormatting sqref="H13:J13">
    <cfRule type="containsText" dxfId="1547" priority="14" operator="containsText" text="ложь">
      <formula>NOT(ISERROR(SEARCH("ложь",H13)))</formula>
    </cfRule>
  </conditionalFormatting>
  <conditionalFormatting sqref="R29:U30">
    <cfRule type="containsText" dxfId="1546" priority="11" operator="containsText" text="ложь">
      <formula>NOT(ISERROR(SEARCH("ложь",R29)))</formula>
    </cfRule>
  </conditionalFormatting>
  <conditionalFormatting sqref="H32:K32">
    <cfRule type="containsText" dxfId="1545" priority="10" operator="containsText" text="ложь">
      <formula>NOT(ISERROR(SEARCH("ложь",H32)))</formula>
    </cfRule>
  </conditionalFormatting>
  <conditionalFormatting sqref="M32:O32">
    <cfRule type="containsText" dxfId="1544" priority="9" operator="containsText" text="ложь">
      <formula>NOT(ISERROR(SEARCH("ложь",M32)))</formula>
    </cfRule>
  </conditionalFormatting>
  <conditionalFormatting sqref="R86:U86">
    <cfRule type="containsText" dxfId="1543" priority="8" operator="containsText" text="ложь">
      <formula>NOT(ISERROR(SEARCH("ложь",R86)))</formula>
    </cfRule>
  </conditionalFormatting>
  <conditionalFormatting sqref="Z85">
    <cfRule type="containsText" dxfId="1542" priority="7" operator="containsText" text="ложь">
      <formula>NOT(ISERROR(SEARCH("ложь",Z85)))</formula>
    </cfRule>
  </conditionalFormatting>
  <conditionalFormatting sqref="AB85:AE85">
    <cfRule type="containsText" dxfId="1541" priority="6" operator="containsText" text="ложь">
      <formula>NOT(ISERROR(SEARCH("ложь",AB85)))</formula>
    </cfRule>
  </conditionalFormatting>
  <conditionalFormatting sqref="R99:U101">
    <cfRule type="containsText" dxfId="1540" priority="5" operator="containsText" text="ложь">
      <formula>NOT(ISERROR(SEARCH("ложь",R99)))</formula>
    </cfRule>
  </conditionalFormatting>
  <conditionalFormatting sqref="W99:Z101">
    <cfRule type="containsText" dxfId="1539" priority="4" operator="containsText" text="ложь">
      <formula>NOT(ISERROR(SEARCH("ложь",W99)))</formula>
    </cfRule>
  </conditionalFormatting>
  <conditionalFormatting sqref="W85:Y85">
    <cfRule type="containsText" dxfId="1538" priority="3" operator="containsText" text="ложь">
      <formula>NOT(ISERROR(SEARCH("ложь",W85)))</formula>
    </cfRule>
  </conditionalFormatting>
  <conditionalFormatting sqref="W86">
    <cfRule type="containsText" dxfId="1537" priority="2" operator="containsText" text="ложь">
      <formula>NOT(ISERROR(SEARCH("ложь",W86)))</formula>
    </cfRule>
  </conditionalFormatting>
  <conditionalFormatting sqref="W15:Y16">
    <cfRule type="containsText" dxfId="1536" priority="1" operator="containsText" text="ложь">
      <formula>NOT(ISERROR(SEARCH("ложь",W15)))</formula>
    </cfRule>
  </conditionalFormatting>
  <hyperlinks>
    <hyperlink ref="A131" location="Contents!A1" display="Contents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outlinePr summaryBelow="0"/>
    <pageSetUpPr fitToPage="1"/>
  </sheetPr>
  <dimension ref="A1:AU158"/>
  <sheetViews>
    <sheetView showGridLines="0" zoomScaleNormal="100" workbookViewId="0">
      <pane xSplit="2" ySplit="7" topLeftCell="C8" activePane="bottomRight" state="frozen"/>
      <selection activeCell="AA1" sqref="AA1:AA1048576"/>
      <selection pane="topRight" activeCell="AA1" sqref="AA1:AA1048576"/>
      <selection pane="bottomLeft" activeCell="AA1" sqref="AA1:AA1048576"/>
      <selection pane="bottomRight"/>
    </sheetView>
  </sheetViews>
  <sheetFormatPr defaultColWidth="9.140625" defaultRowHeight="15" customHeight="1" outlineLevelRow="1" outlineLevelCol="1" x14ac:dyDescent="0.2"/>
  <cols>
    <col min="1" max="1" width="75.7109375" style="1" customWidth="1"/>
    <col min="2" max="2" width="10.7109375" style="242" customWidth="1"/>
    <col min="3" max="3" width="0.85546875" style="16" customWidth="1"/>
    <col min="4" max="4" width="10.7109375" style="1" customWidth="1"/>
    <col min="5" max="5" width="0.85546875" style="16" customWidth="1"/>
    <col min="6" max="9" width="10.7109375" style="16" hidden="1" customWidth="1" outlineLevel="1"/>
    <col min="10" max="10" width="10.7109375" style="1" customWidth="1" collapsed="1"/>
    <col min="11" max="11" width="0.85546875" style="16" customWidth="1"/>
    <col min="12" max="15" width="10.7109375" style="1" hidden="1" customWidth="1" outlineLevel="1"/>
    <col min="16" max="16" width="10.7109375" style="1" customWidth="1" collapsed="1"/>
    <col min="17" max="17" width="0.85546875" style="222" customWidth="1"/>
    <col min="18" max="21" width="10.7109375" style="206" hidden="1" customWidth="1" outlineLevel="1"/>
    <col min="22" max="22" width="10.7109375" style="206" customWidth="1" collapsed="1"/>
    <col min="23" max="23" width="0.85546875" style="222" customWidth="1"/>
    <col min="24" max="27" width="10.7109375" style="206" hidden="1" customWidth="1" outlineLevel="1"/>
    <col min="28" max="28" width="10.7109375" style="206" customWidth="1" collapsed="1"/>
    <col min="29" max="29" width="0.85546875" style="222" customWidth="1"/>
    <col min="30" max="33" width="10.7109375" style="206" hidden="1" customWidth="1" outlineLevel="1"/>
    <col min="34" max="34" width="10.7109375" style="206" customWidth="1" collapsed="1"/>
    <col min="35" max="35" width="0.85546875" style="222" customWidth="1"/>
    <col min="36" max="39" width="10.7109375" style="206" hidden="1" customWidth="1" outlineLevel="1"/>
    <col min="40" max="40" width="10.7109375" style="206" customWidth="1" collapsed="1"/>
    <col min="41" max="41" width="0.85546875" style="222" customWidth="1"/>
    <col min="42" max="46" width="10.7109375" style="206" customWidth="1"/>
    <col min="47" max="16384" width="9.140625" style="1"/>
  </cols>
  <sheetData>
    <row r="1" spans="1:47" s="222" customFormat="1" ht="15" customHeight="1" x14ac:dyDescent="0.2">
      <c r="A1" s="414"/>
      <c r="B1" s="348"/>
      <c r="C1" s="414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7" s="20" customFormat="1" ht="15" customHeight="1" x14ac:dyDescent="0.2">
      <c r="A2" s="335" t="str">
        <f>IF(Contents!$A$1=2,"CONSOLIDATED STATEMENT OF PROFIT OR LOSS AND OTHER COMPREHENSIVE INCOME","КОНСОЛИДИРОВАННЫЙ ОТЧЕТ О ПРИБЫЛЯХ И УБЫТКАХ И ПРОЧЕМ СОВОКУПНОМ ДОХОДЕ")</f>
        <v>КОНСОЛИДИРОВАННЫЙ ОТЧЕТ О ПРИБЫЛЯХ И УБЫТКАХ И ПРОЧЕМ СОВОКУПНОМ ДОХОДЕ</v>
      </c>
      <c r="B2" s="244"/>
      <c r="C2" s="414"/>
      <c r="D2" s="131"/>
      <c r="E2" s="414"/>
      <c r="F2" s="131"/>
      <c r="G2" s="131"/>
      <c r="H2" s="131"/>
      <c r="I2" s="131"/>
      <c r="K2" s="34"/>
      <c r="Q2" s="220"/>
      <c r="W2" s="220"/>
      <c r="AC2" s="220"/>
      <c r="AI2" s="220"/>
      <c r="AO2" s="220"/>
    </row>
    <row r="3" spans="1:47" ht="15" customHeight="1" thickBot="1" x14ac:dyDescent="0.25">
      <c r="A3" s="132"/>
      <c r="B3" s="245"/>
      <c r="C3" s="415"/>
      <c r="D3" s="132"/>
      <c r="E3" s="415"/>
      <c r="F3" s="132"/>
      <c r="G3" s="132"/>
      <c r="H3" s="132"/>
      <c r="I3" s="132"/>
      <c r="J3" s="26"/>
      <c r="K3" s="27"/>
      <c r="L3" s="26"/>
      <c r="M3" s="26"/>
      <c r="N3" s="26"/>
      <c r="O3" s="26"/>
      <c r="P3" s="26"/>
      <c r="Q3" s="27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</row>
    <row r="4" spans="1:47" ht="15" customHeight="1" thickTop="1" x14ac:dyDescent="0.2"/>
    <row r="5" spans="1:47" s="21" customFormat="1" ht="15" customHeight="1" x14ac:dyDescent="0.3">
      <c r="A5" s="39" t="str">
        <f>IF(Contents!$A$1=2,"Consolidated Statement of Profit or Loss and Other Comprehensive Income","Консолидированный отчет о прибылях и убытках и прочем совокупном доходе")</f>
        <v>Консолидированный отчет о прибылях и убытках и прочем совокупном доходе</v>
      </c>
      <c r="B5" s="244"/>
      <c r="C5" s="28"/>
      <c r="E5" s="28"/>
      <c r="F5" s="28"/>
      <c r="G5" s="28"/>
      <c r="H5" s="28"/>
      <c r="I5" s="28"/>
      <c r="K5" s="28"/>
      <c r="Q5" s="223"/>
      <c r="W5" s="223"/>
      <c r="AC5" s="223"/>
      <c r="AI5" s="223"/>
      <c r="AO5" s="223"/>
    </row>
    <row r="6" spans="1:47" ht="15" customHeight="1" x14ac:dyDescent="0.2">
      <c r="A6" s="38"/>
      <c r="D6" s="193"/>
      <c r="F6" s="76"/>
      <c r="G6" s="76"/>
      <c r="J6" s="193"/>
      <c r="M6" s="193"/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  <c r="AT6" s="19"/>
    </row>
    <row r="7" spans="1:47" ht="15" customHeight="1" x14ac:dyDescent="0.2">
      <c r="A7" s="75"/>
      <c r="B7" s="243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17">
        <v>2017</v>
      </c>
      <c r="W7" s="324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17">
        <v>2018</v>
      </c>
      <c r="AC7" s="324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17">
        <v>2019</v>
      </c>
      <c r="AI7" s="324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17">
        <v>2020</v>
      </c>
      <c r="AO7" s="324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17">
        <v>2021</v>
      </c>
    </row>
    <row r="8" spans="1:47" s="110" customFormat="1" ht="15" customHeight="1" x14ac:dyDescent="0.2">
      <c r="A8" s="108" t="str">
        <f>IF(Contents!$A$1=2,"Sales (including excise and export tariffs)","Выручка от реализации (включая акцизы и экспортные пошлины)")</f>
        <v>Выручка от реализации (включая акцизы и экспортные пошлины)</v>
      </c>
      <c r="B8" s="261" t="str">
        <f>IF(Contents!$A$1=2,"mln RUB","млн руб.")</f>
        <v>млн руб.</v>
      </c>
      <c r="C8" s="109"/>
      <c r="D8" s="472">
        <v>5504856</v>
      </c>
      <c r="E8" s="467"/>
      <c r="F8" s="473">
        <v>1440305</v>
      </c>
      <c r="G8" s="473">
        <v>1476966</v>
      </c>
      <c r="H8" s="473">
        <v>1464053</v>
      </c>
      <c r="I8" s="473">
        <v>1367726</v>
      </c>
      <c r="J8" s="473">
        <v>5749050</v>
      </c>
      <c r="K8" s="467"/>
      <c r="L8" s="473">
        <v>1177674</v>
      </c>
      <c r="M8" s="473">
        <v>1338959</v>
      </c>
      <c r="N8" s="473">
        <v>1309488</v>
      </c>
      <c r="O8" s="473">
        <v>1400924</v>
      </c>
      <c r="P8" s="473">
        <v>5227045</v>
      </c>
      <c r="Q8" s="467"/>
      <c r="R8" s="473">
        <v>1431599</v>
      </c>
      <c r="S8" s="473">
        <v>1359170</v>
      </c>
      <c r="T8" s="473">
        <v>1483484</v>
      </c>
      <c r="U8" s="473">
        <v>1662452</v>
      </c>
      <c r="V8" s="473">
        <v>5936705</v>
      </c>
      <c r="W8" s="467"/>
      <c r="X8" s="473">
        <v>1630728</v>
      </c>
      <c r="Y8" s="473">
        <v>2056058</v>
      </c>
      <c r="Z8" s="473">
        <v>2305886</v>
      </c>
      <c r="AA8" s="473">
        <v>2043217</v>
      </c>
      <c r="AB8" s="473">
        <v>8035889</v>
      </c>
      <c r="AC8" s="467"/>
      <c r="AD8" s="473">
        <v>1850933</v>
      </c>
      <c r="AE8" s="473">
        <v>2125552</v>
      </c>
      <c r="AF8" s="473">
        <v>1952322</v>
      </c>
      <c r="AG8" s="473">
        <v>1912439</v>
      </c>
      <c r="AH8" s="473">
        <v>7841246</v>
      </c>
      <c r="AI8" s="467"/>
      <c r="AJ8" s="473">
        <v>1665985</v>
      </c>
      <c r="AK8" s="473">
        <v>986427</v>
      </c>
      <c r="AL8" s="473">
        <v>1456650</v>
      </c>
      <c r="AM8" s="473">
        <v>1530339</v>
      </c>
      <c r="AN8" s="473">
        <v>5639401</v>
      </c>
      <c r="AO8" s="467"/>
      <c r="AP8" s="473">
        <v>1876483</v>
      </c>
      <c r="AQ8" s="473">
        <v>2201884</v>
      </c>
      <c r="AR8" s="473">
        <v>2588745</v>
      </c>
      <c r="AS8" s="473">
        <v>2768031</v>
      </c>
      <c r="AT8" s="473">
        <v>9435143</v>
      </c>
    </row>
    <row r="9" spans="1:47" ht="15" customHeight="1" collapsed="1" x14ac:dyDescent="0.2">
      <c r="A9" s="100" t="str">
        <f>IF(Contents!$A$1=2,"Domestic sales","В России")</f>
        <v>В России</v>
      </c>
      <c r="B9" s="250" t="str">
        <f>IF(Contents!$A$1=2,"mln RUB","млн руб.")</f>
        <v>млн руб.</v>
      </c>
      <c r="C9" s="82"/>
      <c r="D9" s="474">
        <v>881826</v>
      </c>
      <c r="E9" s="470"/>
      <c r="F9" s="474">
        <v>207476</v>
      </c>
      <c r="G9" s="474">
        <v>224225</v>
      </c>
      <c r="H9" s="474">
        <v>246048</v>
      </c>
      <c r="I9" s="474">
        <v>238474</v>
      </c>
      <c r="J9" s="474">
        <v>916223</v>
      </c>
      <c r="K9" s="470"/>
      <c r="L9" s="474">
        <v>199188</v>
      </c>
      <c r="M9" s="474">
        <v>211330</v>
      </c>
      <c r="N9" s="474">
        <v>258625</v>
      </c>
      <c r="O9" s="474">
        <v>234077</v>
      </c>
      <c r="P9" s="474">
        <v>903220</v>
      </c>
      <c r="Q9" s="430"/>
      <c r="R9" s="474">
        <v>218390</v>
      </c>
      <c r="S9" s="474">
        <v>235233</v>
      </c>
      <c r="T9" s="474">
        <v>271347</v>
      </c>
      <c r="U9" s="429">
        <v>260872</v>
      </c>
      <c r="V9" s="429">
        <v>985842</v>
      </c>
      <c r="W9" s="430"/>
      <c r="X9" s="429">
        <v>248966</v>
      </c>
      <c r="Y9" s="429">
        <v>285381</v>
      </c>
      <c r="Z9" s="474">
        <v>321997</v>
      </c>
      <c r="AA9" s="429">
        <v>309173</v>
      </c>
      <c r="AB9" s="429">
        <v>1165517</v>
      </c>
      <c r="AC9" s="430"/>
      <c r="AD9" s="429">
        <v>263389</v>
      </c>
      <c r="AE9" s="429">
        <v>279858</v>
      </c>
      <c r="AF9" s="429">
        <v>293837</v>
      </c>
      <c r="AG9" s="429">
        <v>278166</v>
      </c>
      <c r="AH9" s="429">
        <v>1115250</v>
      </c>
      <c r="AI9" s="430"/>
      <c r="AJ9" s="429">
        <v>256913</v>
      </c>
      <c r="AK9" s="429">
        <v>200376</v>
      </c>
      <c r="AL9" s="429">
        <v>269057</v>
      </c>
      <c r="AM9" s="429">
        <v>245650</v>
      </c>
      <c r="AN9" s="429">
        <v>971996</v>
      </c>
      <c r="AO9" s="430"/>
      <c r="AP9" s="429">
        <v>258018</v>
      </c>
      <c r="AQ9" s="429">
        <v>312458</v>
      </c>
      <c r="AR9" s="429">
        <v>377811</v>
      </c>
      <c r="AS9" s="429">
        <v>375341</v>
      </c>
      <c r="AT9" s="429">
        <v>1323628</v>
      </c>
      <c r="AU9" s="211"/>
    </row>
    <row r="10" spans="1:47" s="162" customFormat="1" ht="15" hidden="1" customHeight="1" outlineLevel="1" x14ac:dyDescent="0.2">
      <c r="A10" s="168" t="str">
        <f>IF(Contents!$A$1=2,"Crude oil ","Нефть")</f>
        <v>Нефть</v>
      </c>
      <c r="B10" s="255" t="str">
        <f>IF(Contents!$A$1=2,"mln RUB","млн руб.")</f>
        <v>млн руб.</v>
      </c>
      <c r="C10" s="169"/>
      <c r="D10" s="427">
        <v>128431</v>
      </c>
      <c r="E10" s="428"/>
      <c r="F10" s="427">
        <v>37373</v>
      </c>
      <c r="G10" s="427">
        <v>37859</v>
      </c>
      <c r="H10" s="427">
        <v>39147</v>
      </c>
      <c r="I10" s="427">
        <v>31309</v>
      </c>
      <c r="J10" s="427">
        <v>145688</v>
      </c>
      <c r="K10" s="428"/>
      <c r="L10" s="427">
        <v>21340</v>
      </c>
      <c r="M10" s="427">
        <v>23404</v>
      </c>
      <c r="N10" s="427">
        <v>31177</v>
      </c>
      <c r="O10" s="419">
        <v>19064</v>
      </c>
      <c r="P10" s="419">
        <v>94985</v>
      </c>
      <c r="Q10" s="431"/>
      <c r="R10" s="427">
        <v>8902</v>
      </c>
      <c r="S10" s="427">
        <v>9110</v>
      </c>
      <c r="T10" s="427">
        <v>9930</v>
      </c>
      <c r="U10" s="419">
        <v>9583</v>
      </c>
      <c r="V10" s="419">
        <v>37525</v>
      </c>
      <c r="W10" s="431"/>
      <c r="X10" s="427">
        <v>13618</v>
      </c>
      <c r="Y10" s="427">
        <v>10626</v>
      </c>
      <c r="Z10" s="427">
        <v>14423</v>
      </c>
      <c r="AA10" s="419">
        <v>8841</v>
      </c>
      <c r="AB10" s="419">
        <v>47508</v>
      </c>
      <c r="AC10" s="431"/>
      <c r="AD10" s="419">
        <v>9505</v>
      </c>
      <c r="AE10" s="419">
        <v>4093</v>
      </c>
      <c r="AF10" s="419">
        <v>1115</v>
      </c>
      <c r="AG10" s="419">
        <v>7815</v>
      </c>
      <c r="AH10" s="419">
        <v>22528</v>
      </c>
      <c r="AI10" s="431"/>
      <c r="AJ10" s="419">
        <v>7494</v>
      </c>
      <c r="AK10" s="419">
        <v>3540</v>
      </c>
      <c r="AL10" s="419">
        <v>8457</v>
      </c>
      <c r="AM10" s="419">
        <v>4031</v>
      </c>
      <c r="AN10" s="419">
        <v>23522</v>
      </c>
      <c r="AO10" s="431"/>
      <c r="AP10" s="419">
        <v>13894</v>
      </c>
      <c r="AQ10" s="419">
        <v>21620</v>
      </c>
      <c r="AR10" s="419">
        <v>25735</v>
      </c>
      <c r="AS10" s="419">
        <v>25089</v>
      </c>
      <c r="AT10" s="419">
        <v>86338</v>
      </c>
      <c r="AU10" s="211"/>
    </row>
    <row r="11" spans="1:47" s="162" customFormat="1" ht="15" hidden="1" customHeight="1" outlineLevel="1" x14ac:dyDescent="0.2">
      <c r="A11" s="321" t="str">
        <f>IF(Contents!$A$1=2,"Sales volumes","Объем продаж")</f>
        <v>Объем продаж</v>
      </c>
      <c r="B11" s="322" t="str">
        <f>IF(Contents!$A$1=2,"th. t","тыс. т")</f>
        <v>тыс. т</v>
      </c>
      <c r="C11" s="323"/>
      <c r="D11" s="475">
        <v>11086</v>
      </c>
      <c r="E11" s="476"/>
      <c r="F11" s="475">
        <v>2589</v>
      </c>
      <c r="G11" s="475">
        <v>2569</v>
      </c>
      <c r="H11" s="475">
        <v>3087</v>
      </c>
      <c r="I11" s="475">
        <v>2595</v>
      </c>
      <c r="J11" s="475">
        <v>10840</v>
      </c>
      <c r="K11" s="476"/>
      <c r="L11" s="475">
        <v>1882</v>
      </c>
      <c r="M11" s="475">
        <v>1585</v>
      </c>
      <c r="N11" s="475">
        <v>2357</v>
      </c>
      <c r="O11" s="471">
        <v>1300</v>
      </c>
      <c r="P11" s="471">
        <v>7124</v>
      </c>
      <c r="Q11" s="477"/>
      <c r="R11" s="475">
        <v>558</v>
      </c>
      <c r="S11" s="475">
        <v>637</v>
      </c>
      <c r="T11" s="475">
        <v>607</v>
      </c>
      <c r="U11" s="471">
        <v>492</v>
      </c>
      <c r="V11" s="471">
        <v>2294</v>
      </c>
      <c r="W11" s="477"/>
      <c r="X11" s="475">
        <v>713</v>
      </c>
      <c r="Y11" s="475">
        <v>443</v>
      </c>
      <c r="Z11" s="475">
        <v>551</v>
      </c>
      <c r="AA11" s="471">
        <v>354</v>
      </c>
      <c r="AB11" s="471">
        <v>2061</v>
      </c>
      <c r="AC11" s="477"/>
      <c r="AD11" s="471">
        <v>393</v>
      </c>
      <c r="AE11" s="471">
        <v>154</v>
      </c>
      <c r="AF11" s="471">
        <v>52</v>
      </c>
      <c r="AG11" s="471">
        <v>348</v>
      </c>
      <c r="AH11" s="471">
        <v>947</v>
      </c>
      <c r="AI11" s="477"/>
      <c r="AJ11" s="471">
        <v>420</v>
      </c>
      <c r="AK11" s="471">
        <v>356</v>
      </c>
      <c r="AL11" s="471">
        <v>449</v>
      </c>
      <c r="AM11" s="471">
        <v>190</v>
      </c>
      <c r="AN11" s="471">
        <v>1415</v>
      </c>
      <c r="AO11" s="477"/>
      <c r="AP11" s="471">
        <v>489</v>
      </c>
      <c r="AQ11" s="471">
        <v>707</v>
      </c>
      <c r="AR11" s="471">
        <v>798</v>
      </c>
      <c r="AS11" s="471">
        <v>721</v>
      </c>
      <c r="AT11" s="471">
        <v>2715</v>
      </c>
      <c r="AU11" s="211"/>
    </row>
    <row r="12" spans="1:47" s="162" customFormat="1" ht="15" hidden="1" customHeight="1" outlineLevel="1" x14ac:dyDescent="0.2">
      <c r="A12" s="212" t="str">
        <f>IF(Contents!$A$1=2,"Realized average sales prices","Средняя цена реализации")</f>
        <v>Средняя цена реализации</v>
      </c>
      <c r="B12" s="264" t="str">
        <f>IF(Contents!$A$1=2,"RUB/t","руб./т")</f>
        <v>руб./т</v>
      </c>
      <c r="C12" s="169"/>
      <c r="D12" s="478">
        <v>11584.972036803174</v>
      </c>
      <c r="E12" s="479"/>
      <c r="F12" s="478">
        <v>14435.303205870992</v>
      </c>
      <c r="G12" s="478">
        <v>14736.862592448422</v>
      </c>
      <c r="H12" s="478">
        <v>12681.243926141886</v>
      </c>
      <c r="I12" s="478">
        <v>12065.125240847785</v>
      </c>
      <c r="J12" s="478">
        <v>13439.852398523986</v>
      </c>
      <c r="K12" s="479"/>
      <c r="L12" s="478">
        <v>11339.001062699255</v>
      </c>
      <c r="M12" s="478">
        <v>14765.930599369085</v>
      </c>
      <c r="N12" s="478">
        <v>13227.407721680102</v>
      </c>
      <c r="O12" s="480">
        <v>14664.615384615385</v>
      </c>
      <c r="P12" s="480">
        <v>13333.099382369455</v>
      </c>
      <c r="Q12" s="481"/>
      <c r="R12" s="478">
        <v>15953.405017921148</v>
      </c>
      <c r="S12" s="478">
        <v>14301.412872841445</v>
      </c>
      <c r="T12" s="478">
        <v>16359.143327841846</v>
      </c>
      <c r="U12" s="478">
        <v>19477.642276422765</v>
      </c>
      <c r="V12" s="478">
        <v>16357.890148212729</v>
      </c>
      <c r="W12" s="479"/>
      <c r="X12" s="478">
        <v>19099.579242636748</v>
      </c>
      <c r="Y12" s="478">
        <v>23986.455981941308</v>
      </c>
      <c r="Z12" s="478">
        <v>26176.043557168785</v>
      </c>
      <c r="AA12" s="478">
        <v>24974.576271186441</v>
      </c>
      <c r="AB12" s="478">
        <v>23050.946142649198</v>
      </c>
      <c r="AC12" s="479"/>
      <c r="AD12" s="478">
        <v>24185.750636132314</v>
      </c>
      <c r="AE12" s="478">
        <v>26577.922077922078</v>
      </c>
      <c r="AF12" s="478">
        <v>21442.307692307695</v>
      </c>
      <c r="AG12" s="478">
        <v>22456.896551724138</v>
      </c>
      <c r="AH12" s="478">
        <v>23788.806758183739</v>
      </c>
      <c r="AI12" s="479"/>
      <c r="AJ12" s="478">
        <v>17842.857142857141</v>
      </c>
      <c r="AK12" s="478">
        <v>9943.8202247191002</v>
      </c>
      <c r="AL12" s="478">
        <v>18835.189309576836</v>
      </c>
      <c r="AM12" s="478">
        <v>21215.78947368421</v>
      </c>
      <c r="AN12" s="478">
        <v>16623.321554770318</v>
      </c>
      <c r="AO12" s="479"/>
      <c r="AP12" s="478">
        <v>28413.087934560328</v>
      </c>
      <c r="AQ12" s="478">
        <v>30579.915134370582</v>
      </c>
      <c r="AR12" s="478">
        <v>32249.373433583962</v>
      </c>
      <c r="AS12" s="478">
        <v>34797.503467406379</v>
      </c>
      <c r="AT12" s="478">
        <v>31800.368324125229</v>
      </c>
      <c r="AU12" s="211"/>
    </row>
    <row r="13" spans="1:47" s="162" customFormat="1" ht="15" hidden="1" customHeight="1" outlineLevel="1" x14ac:dyDescent="0.2">
      <c r="A13" s="168" t="str">
        <f>IF(Contents!$A$1=2,"Wholesale refined products  ","Нефтепродукты оптом")</f>
        <v>Нефтепродукты оптом</v>
      </c>
      <c r="B13" s="255" t="str">
        <f>IF(Contents!$A$1=2,"mln RUB","млн руб.")</f>
        <v>млн руб.</v>
      </c>
      <c r="C13" s="169"/>
      <c r="D13" s="427">
        <v>269735</v>
      </c>
      <c r="E13" s="428"/>
      <c r="F13" s="427">
        <v>52974</v>
      </c>
      <c r="G13" s="427">
        <v>61045</v>
      </c>
      <c r="H13" s="427">
        <v>64453</v>
      </c>
      <c r="I13" s="427">
        <v>65932</v>
      </c>
      <c r="J13" s="427">
        <v>244404</v>
      </c>
      <c r="K13" s="428"/>
      <c r="L13" s="427">
        <v>50565</v>
      </c>
      <c r="M13" s="427">
        <v>56847</v>
      </c>
      <c r="N13" s="427">
        <v>78240</v>
      </c>
      <c r="O13" s="419">
        <v>65457</v>
      </c>
      <c r="P13" s="419">
        <v>251109</v>
      </c>
      <c r="Q13" s="431"/>
      <c r="R13" s="427">
        <v>67904</v>
      </c>
      <c r="S13" s="427">
        <v>84498</v>
      </c>
      <c r="T13" s="427">
        <v>104882</v>
      </c>
      <c r="U13" s="419">
        <v>102898</v>
      </c>
      <c r="V13" s="419">
        <v>360182</v>
      </c>
      <c r="W13" s="431"/>
      <c r="X13" s="427">
        <v>84829</v>
      </c>
      <c r="Y13" s="427">
        <v>111298</v>
      </c>
      <c r="Z13" s="427">
        <v>124784</v>
      </c>
      <c r="AA13" s="419">
        <v>118416</v>
      </c>
      <c r="AB13" s="419">
        <v>439327</v>
      </c>
      <c r="AC13" s="431"/>
      <c r="AD13" s="419">
        <v>95749</v>
      </c>
      <c r="AE13" s="419">
        <v>116445</v>
      </c>
      <c r="AF13" s="419">
        <v>122877</v>
      </c>
      <c r="AG13" s="419">
        <v>108596</v>
      </c>
      <c r="AH13" s="419">
        <v>443667</v>
      </c>
      <c r="AI13" s="431"/>
      <c r="AJ13" s="419">
        <v>96818</v>
      </c>
      <c r="AK13" s="419">
        <v>68404</v>
      </c>
      <c r="AL13" s="419">
        <v>94013</v>
      </c>
      <c r="AM13" s="419">
        <v>81085</v>
      </c>
      <c r="AN13" s="419">
        <v>340320</v>
      </c>
      <c r="AO13" s="431"/>
      <c r="AP13" s="419">
        <v>87312</v>
      </c>
      <c r="AQ13" s="419">
        <v>123064</v>
      </c>
      <c r="AR13" s="419">
        <v>162489</v>
      </c>
      <c r="AS13" s="419">
        <v>161924</v>
      </c>
      <c r="AT13" s="419">
        <v>534789</v>
      </c>
      <c r="AU13" s="211"/>
    </row>
    <row r="14" spans="1:47" s="162" customFormat="1" ht="15" hidden="1" customHeight="1" outlineLevel="1" x14ac:dyDescent="0.2">
      <c r="A14" s="321" t="str">
        <f>IF(Contents!$A$1=2,"Sales volumes","Объем продаж")</f>
        <v>Объем продаж</v>
      </c>
      <c r="B14" s="322" t="str">
        <f>IF(Contents!$A$1=2,"th. t","тыс. т")</f>
        <v>тыс. т</v>
      </c>
      <c r="C14" s="323"/>
      <c r="D14" s="475">
        <v>11596</v>
      </c>
      <c r="E14" s="476"/>
      <c r="F14" s="475">
        <v>2208</v>
      </c>
      <c r="G14" s="475">
        <v>2582</v>
      </c>
      <c r="H14" s="475">
        <v>2670</v>
      </c>
      <c r="I14" s="475">
        <v>2787</v>
      </c>
      <c r="J14" s="475">
        <v>10247</v>
      </c>
      <c r="K14" s="476"/>
      <c r="L14" s="475">
        <v>2750</v>
      </c>
      <c r="M14" s="475">
        <v>2768</v>
      </c>
      <c r="N14" s="475">
        <v>3456</v>
      </c>
      <c r="O14" s="471">
        <v>2884</v>
      </c>
      <c r="P14" s="471">
        <v>11858</v>
      </c>
      <c r="Q14" s="477"/>
      <c r="R14" s="475">
        <v>2867</v>
      </c>
      <c r="S14" s="475">
        <v>3580</v>
      </c>
      <c r="T14" s="475">
        <v>4215</v>
      </c>
      <c r="U14" s="471">
        <v>4077</v>
      </c>
      <c r="V14" s="471">
        <v>14739</v>
      </c>
      <c r="W14" s="477"/>
      <c r="X14" s="475">
        <v>3258</v>
      </c>
      <c r="Y14" s="475">
        <v>3799</v>
      </c>
      <c r="Z14" s="475">
        <v>3979</v>
      </c>
      <c r="AA14" s="471">
        <v>3685</v>
      </c>
      <c r="AB14" s="471">
        <v>14721</v>
      </c>
      <c r="AC14" s="477"/>
      <c r="AD14" s="471">
        <v>3222</v>
      </c>
      <c r="AE14" s="471">
        <v>3746</v>
      </c>
      <c r="AF14" s="471">
        <v>4003</v>
      </c>
      <c r="AG14" s="471">
        <v>3535</v>
      </c>
      <c r="AH14" s="471">
        <v>14506</v>
      </c>
      <c r="AI14" s="477"/>
      <c r="AJ14" s="471">
        <v>3283</v>
      </c>
      <c r="AK14" s="471">
        <v>2772</v>
      </c>
      <c r="AL14" s="471">
        <v>3230</v>
      </c>
      <c r="AM14" s="471">
        <v>2726</v>
      </c>
      <c r="AN14" s="471">
        <v>12011</v>
      </c>
      <c r="AO14" s="477"/>
      <c r="AP14" s="471">
        <v>2656</v>
      </c>
      <c r="AQ14" s="471">
        <v>3253</v>
      </c>
      <c r="AR14" s="471">
        <v>3990</v>
      </c>
      <c r="AS14" s="471">
        <v>3803</v>
      </c>
      <c r="AT14" s="471">
        <v>13702</v>
      </c>
      <c r="AU14" s="211"/>
    </row>
    <row r="15" spans="1:47" s="162" customFormat="1" ht="15" hidden="1" customHeight="1" outlineLevel="1" x14ac:dyDescent="0.2">
      <c r="A15" s="212" t="str">
        <f>IF(Contents!$A$1=2,"Realized average sales prices","Средняя цена реализации")</f>
        <v>Средняя цена реализации</v>
      </c>
      <c r="B15" s="264" t="str">
        <f>IF(Contents!$A$1=2,"RUB/t","руб./т")</f>
        <v>руб./т</v>
      </c>
      <c r="C15" s="169"/>
      <c r="D15" s="478">
        <v>23263.25</v>
      </c>
      <c r="E15" s="479"/>
      <c r="F15" s="478">
        <v>23986.87</v>
      </c>
      <c r="G15" s="478">
        <v>23648</v>
      </c>
      <c r="H15" s="478">
        <v>24143</v>
      </c>
      <c r="I15" s="478">
        <v>23652</v>
      </c>
      <c r="J15" s="478">
        <v>23851.27</v>
      </c>
      <c r="K15" s="479"/>
      <c r="L15" s="478">
        <v>18389</v>
      </c>
      <c r="M15" s="478">
        <v>20535</v>
      </c>
      <c r="N15" s="478">
        <v>22639</v>
      </c>
      <c r="O15" s="480">
        <v>22802.068473609128</v>
      </c>
      <c r="P15" s="480">
        <v>21176</v>
      </c>
      <c r="Q15" s="481"/>
      <c r="R15" s="478">
        <v>23684</v>
      </c>
      <c r="S15" s="478">
        <v>23603</v>
      </c>
      <c r="T15" s="478">
        <v>24883</v>
      </c>
      <c r="U15" s="480">
        <v>25239</v>
      </c>
      <c r="V15" s="480">
        <v>24437</v>
      </c>
      <c r="W15" s="481"/>
      <c r="X15" s="478">
        <v>26037</v>
      </c>
      <c r="Y15" s="478">
        <v>29297</v>
      </c>
      <c r="Z15" s="478">
        <v>31361</v>
      </c>
      <c r="AA15" s="480">
        <v>32135</v>
      </c>
      <c r="AB15" s="480">
        <v>29844</v>
      </c>
      <c r="AC15" s="481"/>
      <c r="AD15" s="480">
        <v>29717</v>
      </c>
      <c r="AE15" s="480">
        <v>31085</v>
      </c>
      <c r="AF15" s="480">
        <v>30696</v>
      </c>
      <c r="AG15" s="480">
        <v>30720</v>
      </c>
      <c r="AH15" s="480">
        <v>30585</v>
      </c>
      <c r="AI15" s="481"/>
      <c r="AJ15" s="480">
        <v>29491</v>
      </c>
      <c r="AK15" s="480">
        <v>24677</v>
      </c>
      <c r="AL15" s="480">
        <v>29106</v>
      </c>
      <c r="AM15" s="480">
        <v>29745</v>
      </c>
      <c r="AN15" s="480">
        <v>28334</v>
      </c>
      <c r="AO15" s="481"/>
      <c r="AP15" s="480">
        <v>32873</v>
      </c>
      <c r="AQ15" s="480">
        <v>37831</v>
      </c>
      <c r="AR15" s="480">
        <v>40724</v>
      </c>
      <c r="AS15" s="480">
        <v>42578</v>
      </c>
      <c r="AT15" s="480">
        <v>39030</v>
      </c>
      <c r="AU15" s="211"/>
    </row>
    <row r="16" spans="1:47" s="162" customFormat="1" ht="15" hidden="1" customHeight="1" outlineLevel="1" x14ac:dyDescent="0.2">
      <c r="A16" s="168" t="str">
        <f>IF(Contents!$A$1=2,"Retail refined products","Нефтепродукты в розницу")</f>
        <v>Нефтепродукты в розницу</v>
      </c>
      <c r="B16" s="255" t="str">
        <f>IF(Contents!$A$1=2,"mln RUB","млн руб.")</f>
        <v>млн руб.</v>
      </c>
      <c r="C16" s="169"/>
      <c r="D16" s="427">
        <v>343800</v>
      </c>
      <c r="E16" s="428"/>
      <c r="F16" s="427">
        <v>78005</v>
      </c>
      <c r="G16" s="427">
        <v>88172</v>
      </c>
      <c r="H16" s="427">
        <v>100622</v>
      </c>
      <c r="I16" s="427">
        <v>93484</v>
      </c>
      <c r="J16" s="427">
        <v>360283</v>
      </c>
      <c r="K16" s="428"/>
      <c r="L16" s="427">
        <v>81697</v>
      </c>
      <c r="M16" s="427">
        <v>90924</v>
      </c>
      <c r="N16" s="427">
        <v>107460</v>
      </c>
      <c r="O16" s="419">
        <v>103136</v>
      </c>
      <c r="P16" s="419">
        <v>383217</v>
      </c>
      <c r="Q16" s="431"/>
      <c r="R16" s="427">
        <v>94466</v>
      </c>
      <c r="S16" s="427">
        <v>100837</v>
      </c>
      <c r="T16" s="427">
        <v>114026</v>
      </c>
      <c r="U16" s="419">
        <v>106491</v>
      </c>
      <c r="V16" s="419">
        <v>415820</v>
      </c>
      <c r="W16" s="431"/>
      <c r="X16" s="427">
        <v>103672</v>
      </c>
      <c r="Y16" s="427">
        <v>121219</v>
      </c>
      <c r="Z16" s="427">
        <v>139765</v>
      </c>
      <c r="AA16" s="419">
        <v>134109</v>
      </c>
      <c r="AB16" s="419">
        <v>498765</v>
      </c>
      <c r="AC16" s="431"/>
      <c r="AD16" s="419">
        <v>111421</v>
      </c>
      <c r="AE16" s="419">
        <v>118393</v>
      </c>
      <c r="AF16" s="419">
        <v>129894</v>
      </c>
      <c r="AG16" s="419">
        <v>120340</v>
      </c>
      <c r="AH16" s="419">
        <v>480048</v>
      </c>
      <c r="AI16" s="431"/>
      <c r="AJ16" s="419">
        <v>106686</v>
      </c>
      <c r="AK16" s="419">
        <v>93474</v>
      </c>
      <c r="AL16" s="419">
        <v>129610</v>
      </c>
      <c r="AM16" s="419">
        <v>115573</v>
      </c>
      <c r="AN16" s="419">
        <v>445343</v>
      </c>
      <c r="AO16" s="431"/>
      <c r="AP16" s="419">
        <v>106347</v>
      </c>
      <c r="AQ16" s="419">
        <v>122092</v>
      </c>
      <c r="AR16" s="419">
        <v>141528</v>
      </c>
      <c r="AS16" s="419">
        <v>138311</v>
      </c>
      <c r="AT16" s="419">
        <v>508278</v>
      </c>
      <c r="AU16" s="211"/>
    </row>
    <row r="17" spans="1:47" s="162" customFormat="1" ht="15" hidden="1" customHeight="1" outlineLevel="1" x14ac:dyDescent="0.2">
      <c r="A17" s="321" t="str">
        <f>IF(Contents!$A$1=2,"Sales volumes","Объем продаж")</f>
        <v>Объем продаж</v>
      </c>
      <c r="B17" s="322" t="str">
        <f>IF(Contents!$A$1=2,"th. t","тыс. т")</f>
        <v>тыс. т</v>
      </c>
      <c r="C17" s="323"/>
      <c r="D17" s="475">
        <v>9771</v>
      </c>
      <c r="E17" s="476"/>
      <c r="F17" s="475">
        <v>2148</v>
      </c>
      <c r="G17" s="475">
        <v>2353</v>
      </c>
      <c r="H17" s="475">
        <v>2627</v>
      </c>
      <c r="I17" s="475">
        <v>2434</v>
      </c>
      <c r="J17" s="475">
        <v>9562</v>
      </c>
      <c r="K17" s="476"/>
      <c r="L17" s="475">
        <v>2146</v>
      </c>
      <c r="M17" s="475">
        <v>2368</v>
      </c>
      <c r="N17" s="475">
        <v>2731</v>
      </c>
      <c r="O17" s="471">
        <v>2655</v>
      </c>
      <c r="P17" s="471">
        <v>9900</v>
      </c>
      <c r="Q17" s="477"/>
      <c r="R17" s="475">
        <v>2359</v>
      </c>
      <c r="S17" s="475">
        <v>2448</v>
      </c>
      <c r="T17" s="475">
        <v>2716</v>
      </c>
      <c r="U17" s="471">
        <v>2560</v>
      </c>
      <c r="V17" s="471">
        <v>10083</v>
      </c>
      <c r="W17" s="477"/>
      <c r="X17" s="475">
        <v>2455</v>
      </c>
      <c r="Y17" s="475">
        <v>2690</v>
      </c>
      <c r="Z17" s="475">
        <v>2954</v>
      </c>
      <c r="AA17" s="471">
        <v>2828</v>
      </c>
      <c r="AB17" s="471">
        <v>10927</v>
      </c>
      <c r="AC17" s="477"/>
      <c r="AD17" s="471">
        <v>2334</v>
      </c>
      <c r="AE17" s="471">
        <v>2461</v>
      </c>
      <c r="AF17" s="471">
        <v>2666</v>
      </c>
      <c r="AG17" s="471">
        <v>2474</v>
      </c>
      <c r="AH17" s="471">
        <v>9935</v>
      </c>
      <c r="AI17" s="477"/>
      <c r="AJ17" s="471">
        <v>2188</v>
      </c>
      <c r="AK17" s="471">
        <v>1922</v>
      </c>
      <c r="AL17" s="471">
        <v>2595</v>
      </c>
      <c r="AM17" s="471">
        <v>2327</v>
      </c>
      <c r="AN17" s="471">
        <v>9032</v>
      </c>
      <c r="AO17" s="477"/>
      <c r="AP17" s="471">
        <v>2116</v>
      </c>
      <c r="AQ17" s="471">
        <v>2412</v>
      </c>
      <c r="AR17" s="471">
        <v>2717</v>
      </c>
      <c r="AS17" s="471">
        <v>2625</v>
      </c>
      <c r="AT17" s="471">
        <v>9870</v>
      </c>
      <c r="AU17" s="211"/>
    </row>
    <row r="18" spans="1:47" s="162" customFormat="1" ht="15" hidden="1" customHeight="1" outlineLevel="1" x14ac:dyDescent="0.2">
      <c r="A18" s="212" t="str">
        <f>IF(Contents!$A$1=2,"Realized average sales prices","Средняя цена реализации")</f>
        <v>Средняя цена реализации</v>
      </c>
      <c r="B18" s="264" t="str">
        <f>IF(Contents!$A$1=2,"RUB/t","руб./т")</f>
        <v>руб./т</v>
      </c>
      <c r="C18" s="169"/>
      <c r="D18" s="478">
        <v>35184.75</v>
      </c>
      <c r="E18" s="479"/>
      <c r="F18" s="478">
        <v>36311.21</v>
      </c>
      <c r="G18" s="478">
        <v>37481</v>
      </c>
      <c r="H18" s="478">
        <v>38293</v>
      </c>
      <c r="I18" s="478">
        <v>38419</v>
      </c>
      <c r="J18" s="478">
        <v>37678.620000000003</v>
      </c>
      <c r="K18" s="479"/>
      <c r="L18" s="478">
        <v>38062</v>
      </c>
      <c r="M18" s="478">
        <v>38404</v>
      </c>
      <c r="N18" s="478">
        <v>39348</v>
      </c>
      <c r="O18" s="480">
        <v>38926.024279210927</v>
      </c>
      <c r="P18" s="480">
        <v>38709</v>
      </c>
      <c r="Q18" s="481"/>
      <c r="R18" s="478">
        <v>40045</v>
      </c>
      <c r="S18" s="478">
        <v>41191</v>
      </c>
      <c r="T18" s="478">
        <v>41983</v>
      </c>
      <c r="U18" s="480">
        <v>41598</v>
      </c>
      <c r="V18" s="480">
        <v>41240</v>
      </c>
      <c r="W18" s="481"/>
      <c r="X18" s="478">
        <v>42229</v>
      </c>
      <c r="Y18" s="478">
        <v>45063</v>
      </c>
      <c r="Z18" s="478">
        <v>47314</v>
      </c>
      <c r="AA18" s="480">
        <v>47422</v>
      </c>
      <c r="AB18" s="480">
        <v>45645</v>
      </c>
      <c r="AC18" s="481"/>
      <c r="AD18" s="480">
        <v>47738</v>
      </c>
      <c r="AE18" s="480">
        <v>48108</v>
      </c>
      <c r="AF18" s="480">
        <v>48722</v>
      </c>
      <c r="AG18" s="480">
        <v>48642</v>
      </c>
      <c r="AH18" s="480">
        <v>48319</v>
      </c>
      <c r="AI18" s="481"/>
      <c r="AJ18" s="480">
        <v>48760</v>
      </c>
      <c r="AK18" s="480">
        <v>48634</v>
      </c>
      <c r="AL18" s="480">
        <v>49946</v>
      </c>
      <c r="AM18" s="480">
        <v>49666</v>
      </c>
      <c r="AN18" s="480">
        <v>49307</v>
      </c>
      <c r="AO18" s="481"/>
      <c r="AP18" s="480">
        <v>50259</v>
      </c>
      <c r="AQ18" s="480">
        <v>50619</v>
      </c>
      <c r="AR18" s="480">
        <v>52090</v>
      </c>
      <c r="AS18" s="480">
        <v>52690</v>
      </c>
      <c r="AT18" s="480">
        <v>51497</v>
      </c>
      <c r="AU18" s="211"/>
    </row>
    <row r="19" spans="1:47" s="162" customFormat="1" ht="15" hidden="1" customHeight="1" outlineLevel="1" x14ac:dyDescent="0.2">
      <c r="A19" s="168" t="str">
        <f>IF(Contents!$A$1=2,"Petrochemicals","Продукты нефтехимии")</f>
        <v>Продукты нефтехимии</v>
      </c>
      <c r="B19" s="255" t="str">
        <f>IF(Contents!$A$1=2,"mln RUB","млн руб.")</f>
        <v>млн руб.</v>
      </c>
      <c r="C19" s="169"/>
      <c r="D19" s="427">
        <v>10346</v>
      </c>
      <c r="E19" s="428"/>
      <c r="F19" s="427">
        <v>3098</v>
      </c>
      <c r="G19" s="427">
        <v>6296</v>
      </c>
      <c r="H19" s="427">
        <v>9330</v>
      </c>
      <c r="I19" s="427">
        <v>9524</v>
      </c>
      <c r="J19" s="427">
        <v>28248</v>
      </c>
      <c r="K19" s="428"/>
      <c r="L19" s="427">
        <v>9179</v>
      </c>
      <c r="M19" s="427">
        <v>8915</v>
      </c>
      <c r="N19" s="427">
        <v>10521</v>
      </c>
      <c r="O19" s="419">
        <v>9477</v>
      </c>
      <c r="P19" s="419">
        <v>38092</v>
      </c>
      <c r="Q19" s="431"/>
      <c r="R19" s="427">
        <v>9746</v>
      </c>
      <c r="S19" s="427">
        <v>9361</v>
      </c>
      <c r="T19" s="427">
        <v>9445</v>
      </c>
      <c r="U19" s="419">
        <v>5899</v>
      </c>
      <c r="V19" s="419">
        <v>34451</v>
      </c>
      <c r="W19" s="431"/>
      <c r="X19" s="427">
        <v>10580</v>
      </c>
      <c r="Y19" s="427">
        <v>11189</v>
      </c>
      <c r="Z19" s="427">
        <v>12224</v>
      </c>
      <c r="AA19" s="419">
        <v>12092</v>
      </c>
      <c r="AB19" s="419">
        <v>46085</v>
      </c>
      <c r="AC19" s="431"/>
      <c r="AD19" s="419">
        <v>10944</v>
      </c>
      <c r="AE19" s="419">
        <v>11509</v>
      </c>
      <c r="AF19" s="419">
        <v>10379</v>
      </c>
      <c r="AG19" s="419">
        <v>8139</v>
      </c>
      <c r="AH19" s="419">
        <v>40971</v>
      </c>
      <c r="AI19" s="431"/>
      <c r="AJ19" s="419">
        <v>10428</v>
      </c>
      <c r="AK19" s="419">
        <v>8128</v>
      </c>
      <c r="AL19" s="419">
        <v>7356</v>
      </c>
      <c r="AM19" s="419">
        <v>10474</v>
      </c>
      <c r="AN19" s="419">
        <v>36386</v>
      </c>
      <c r="AO19" s="431"/>
      <c r="AP19" s="419">
        <v>12689</v>
      </c>
      <c r="AQ19" s="419">
        <v>16303</v>
      </c>
      <c r="AR19" s="419">
        <v>15235</v>
      </c>
      <c r="AS19" s="419">
        <v>14458</v>
      </c>
      <c r="AT19" s="419">
        <v>58685</v>
      </c>
      <c r="AU19" s="211"/>
    </row>
    <row r="20" spans="1:47" s="162" customFormat="1" ht="15" hidden="1" customHeight="1" outlineLevel="1" x14ac:dyDescent="0.2">
      <c r="A20" s="321" t="str">
        <f>IF(Contents!$A$1=2,"Sales volumes","Объем продаж")</f>
        <v>Объем продаж</v>
      </c>
      <c r="B20" s="322" t="str">
        <f>IF(Contents!$A$1=2,"th. t","тыс. т")</f>
        <v>тыс. т</v>
      </c>
      <c r="C20" s="323"/>
      <c r="D20" s="475">
        <v>240</v>
      </c>
      <c r="E20" s="476"/>
      <c r="F20" s="475">
        <v>55</v>
      </c>
      <c r="G20" s="475">
        <v>127</v>
      </c>
      <c r="H20" s="475">
        <v>177</v>
      </c>
      <c r="I20" s="475">
        <v>184</v>
      </c>
      <c r="J20" s="475">
        <v>543</v>
      </c>
      <c r="K20" s="476"/>
      <c r="L20" s="475">
        <v>166</v>
      </c>
      <c r="M20" s="475">
        <v>158</v>
      </c>
      <c r="N20" s="475">
        <v>212</v>
      </c>
      <c r="O20" s="471">
        <v>194</v>
      </c>
      <c r="P20" s="471">
        <v>730</v>
      </c>
      <c r="Q20" s="477"/>
      <c r="R20" s="475">
        <v>189</v>
      </c>
      <c r="S20" s="475">
        <v>188</v>
      </c>
      <c r="T20" s="475">
        <v>206</v>
      </c>
      <c r="U20" s="471">
        <v>116</v>
      </c>
      <c r="V20" s="471">
        <v>699</v>
      </c>
      <c r="W20" s="477"/>
      <c r="X20" s="475">
        <v>193</v>
      </c>
      <c r="Y20" s="475">
        <v>195</v>
      </c>
      <c r="Z20" s="475">
        <v>192</v>
      </c>
      <c r="AA20" s="471">
        <v>174</v>
      </c>
      <c r="AB20" s="471">
        <v>754</v>
      </c>
      <c r="AC20" s="477"/>
      <c r="AD20" s="471">
        <v>174</v>
      </c>
      <c r="AE20" s="471">
        <v>195</v>
      </c>
      <c r="AF20" s="471">
        <v>184</v>
      </c>
      <c r="AG20" s="471">
        <v>146</v>
      </c>
      <c r="AH20" s="471">
        <v>699</v>
      </c>
      <c r="AI20" s="477"/>
      <c r="AJ20" s="471">
        <v>212</v>
      </c>
      <c r="AK20" s="471">
        <v>206</v>
      </c>
      <c r="AL20" s="471">
        <v>163</v>
      </c>
      <c r="AM20" s="471">
        <v>190</v>
      </c>
      <c r="AN20" s="471">
        <v>771</v>
      </c>
      <c r="AO20" s="477"/>
      <c r="AP20" s="471">
        <v>188</v>
      </c>
      <c r="AQ20" s="471">
        <v>180</v>
      </c>
      <c r="AR20" s="471">
        <v>183</v>
      </c>
      <c r="AS20" s="471">
        <v>156</v>
      </c>
      <c r="AT20" s="471">
        <v>707</v>
      </c>
      <c r="AU20" s="211"/>
    </row>
    <row r="21" spans="1:47" s="162" customFormat="1" ht="15" hidden="1" customHeight="1" outlineLevel="1" x14ac:dyDescent="0.2">
      <c r="A21" s="212" t="str">
        <f>IF(Contents!$A$1=2,"Realized average sales prices","Средняя цена реализации")</f>
        <v>Средняя цена реализации</v>
      </c>
      <c r="B21" s="264" t="str">
        <f>IF(Contents!$A$1=2,"RUB/t","руб./т")</f>
        <v>руб./т</v>
      </c>
      <c r="C21" s="169"/>
      <c r="D21" s="478">
        <v>43151</v>
      </c>
      <c r="E21" s="479"/>
      <c r="F21" s="478">
        <v>55968.617886178858</v>
      </c>
      <c r="G21" s="478">
        <v>49634.268236926335</v>
      </c>
      <c r="H21" s="478">
        <v>52774.723254537945</v>
      </c>
      <c r="I21" s="478">
        <v>51811.527183108563</v>
      </c>
      <c r="J21" s="478">
        <v>52040</v>
      </c>
      <c r="K21" s="479"/>
      <c r="L21" s="478">
        <v>55295.180722891564</v>
      </c>
      <c r="M21" s="478">
        <v>56424</v>
      </c>
      <c r="N21" s="478">
        <v>49627.358490566039</v>
      </c>
      <c r="O21" s="480">
        <v>48850.515463917523</v>
      </c>
      <c r="P21" s="480">
        <v>52181</v>
      </c>
      <c r="Q21" s="481"/>
      <c r="R21" s="478">
        <v>51566</v>
      </c>
      <c r="S21" s="478">
        <v>49793</v>
      </c>
      <c r="T21" s="478">
        <v>45850</v>
      </c>
      <c r="U21" s="480">
        <v>50853</v>
      </c>
      <c r="V21" s="480">
        <v>49286</v>
      </c>
      <c r="W21" s="481"/>
      <c r="X21" s="478">
        <v>54819</v>
      </c>
      <c r="Y21" s="478">
        <v>57379</v>
      </c>
      <c r="Z21" s="478">
        <v>63667</v>
      </c>
      <c r="AA21" s="480">
        <v>69494</v>
      </c>
      <c r="AB21" s="480">
        <v>61121</v>
      </c>
      <c r="AC21" s="481"/>
      <c r="AD21" s="480">
        <v>62897</v>
      </c>
      <c r="AE21" s="480">
        <v>59021</v>
      </c>
      <c r="AF21" s="480">
        <v>56408</v>
      </c>
      <c r="AG21" s="480">
        <v>55747</v>
      </c>
      <c r="AH21" s="480">
        <v>58614</v>
      </c>
      <c r="AI21" s="481"/>
      <c r="AJ21" s="480">
        <v>49189</v>
      </c>
      <c r="AK21" s="480">
        <v>39456</v>
      </c>
      <c r="AL21" s="480">
        <v>45129</v>
      </c>
      <c r="AM21" s="480">
        <v>55126</v>
      </c>
      <c r="AN21" s="480">
        <v>47193</v>
      </c>
      <c r="AO21" s="481"/>
      <c r="AP21" s="480">
        <v>67495</v>
      </c>
      <c r="AQ21" s="480">
        <v>90572</v>
      </c>
      <c r="AR21" s="480">
        <v>83251</v>
      </c>
      <c r="AS21" s="480">
        <v>92679</v>
      </c>
      <c r="AT21" s="480">
        <v>83006</v>
      </c>
      <c r="AU21" s="211"/>
    </row>
    <row r="22" spans="1:47" s="162" customFormat="1" ht="15" hidden="1" customHeight="1" outlineLevel="1" x14ac:dyDescent="0.2">
      <c r="A22" s="168" t="str">
        <f>IF(Contents!$A$1=2,"Gas (in 2014-2015 including gas products)","Газ (в 2014-2015 гг. включая газопродукты)")</f>
        <v>Газ (в 2014-2015 гг. включая газопродукты)</v>
      </c>
      <c r="B22" s="255" t="str">
        <f>IF(Contents!$A$1=2,"mln RUB","млн руб.")</f>
        <v>млн руб.</v>
      </c>
      <c r="C22" s="169"/>
      <c r="D22" s="427">
        <v>42406</v>
      </c>
      <c r="E22" s="428"/>
      <c r="F22" s="427">
        <v>9298</v>
      </c>
      <c r="G22" s="427">
        <v>9533</v>
      </c>
      <c r="H22" s="427">
        <v>9483</v>
      </c>
      <c r="I22" s="427">
        <v>9915</v>
      </c>
      <c r="J22" s="427">
        <v>38229</v>
      </c>
      <c r="K22" s="428"/>
      <c r="L22" s="427">
        <v>7152</v>
      </c>
      <c r="M22" s="427">
        <v>6921</v>
      </c>
      <c r="N22" s="427">
        <v>6343</v>
      </c>
      <c r="O22" s="427">
        <v>6614</v>
      </c>
      <c r="P22" s="427">
        <v>27030</v>
      </c>
      <c r="Q22" s="431"/>
      <c r="R22" s="427">
        <v>7033</v>
      </c>
      <c r="S22" s="427">
        <v>7898</v>
      </c>
      <c r="T22" s="427">
        <v>7788</v>
      </c>
      <c r="U22" s="419">
        <v>8390</v>
      </c>
      <c r="V22" s="419">
        <v>31109</v>
      </c>
      <c r="W22" s="431"/>
      <c r="X22" s="427">
        <v>8330</v>
      </c>
      <c r="Y22" s="427">
        <v>8420</v>
      </c>
      <c r="Z22" s="427">
        <v>8122</v>
      </c>
      <c r="AA22" s="419">
        <v>8480</v>
      </c>
      <c r="AB22" s="419">
        <v>33352</v>
      </c>
      <c r="AC22" s="431"/>
      <c r="AD22" s="419">
        <v>7965</v>
      </c>
      <c r="AE22" s="419">
        <v>8159</v>
      </c>
      <c r="AF22" s="419">
        <v>7685</v>
      </c>
      <c r="AG22" s="419">
        <v>8681</v>
      </c>
      <c r="AH22" s="419">
        <v>32490</v>
      </c>
      <c r="AI22" s="431"/>
      <c r="AJ22" s="419">
        <v>8588</v>
      </c>
      <c r="AK22" s="419">
        <v>7752</v>
      </c>
      <c r="AL22" s="419">
        <v>8119</v>
      </c>
      <c r="AM22" s="419">
        <v>8190</v>
      </c>
      <c r="AN22" s="419">
        <v>32649</v>
      </c>
      <c r="AO22" s="431"/>
      <c r="AP22" s="419">
        <v>7626</v>
      </c>
      <c r="AQ22" s="419">
        <v>7096</v>
      </c>
      <c r="AR22" s="419">
        <v>7515</v>
      </c>
      <c r="AS22" s="419">
        <v>7477</v>
      </c>
      <c r="AT22" s="419">
        <v>29714</v>
      </c>
      <c r="AU22" s="211"/>
    </row>
    <row r="23" spans="1:47" s="162" customFormat="1" ht="15" hidden="1" customHeight="1" outlineLevel="1" x14ac:dyDescent="0.2">
      <c r="A23" s="321" t="str">
        <f>IF(Contents!$A$1=2,"Sales volumes","Объем продаж")</f>
        <v>Объем продаж</v>
      </c>
      <c r="B23" s="322" t="str">
        <f>IF(Contents!$A$1=2,"mln m³","млн м³")</f>
        <v>млн м³</v>
      </c>
      <c r="C23" s="169"/>
      <c r="D23" s="427">
        <v>0</v>
      </c>
      <c r="E23" s="428"/>
      <c r="F23" s="427">
        <v>0</v>
      </c>
      <c r="G23" s="427">
        <v>0</v>
      </c>
      <c r="H23" s="427">
        <v>0</v>
      </c>
      <c r="I23" s="427">
        <v>0</v>
      </c>
      <c r="J23" s="427">
        <v>0</v>
      </c>
      <c r="K23" s="428"/>
      <c r="L23" s="427">
        <v>0</v>
      </c>
      <c r="M23" s="427">
        <v>0</v>
      </c>
      <c r="N23" s="427">
        <v>0</v>
      </c>
      <c r="O23" s="427">
        <v>0</v>
      </c>
      <c r="P23" s="427">
        <v>0</v>
      </c>
      <c r="Q23" s="431"/>
      <c r="R23" s="475">
        <v>3201</v>
      </c>
      <c r="S23" s="475">
        <v>3593</v>
      </c>
      <c r="T23" s="475">
        <v>3431</v>
      </c>
      <c r="U23" s="475">
        <v>3526</v>
      </c>
      <c r="V23" s="475">
        <v>13751</v>
      </c>
      <c r="W23" s="431"/>
      <c r="X23" s="475">
        <v>3483</v>
      </c>
      <c r="Y23" s="475">
        <v>3509</v>
      </c>
      <c r="Z23" s="475">
        <v>3344</v>
      </c>
      <c r="AA23" s="475">
        <v>3387</v>
      </c>
      <c r="AB23" s="475">
        <v>13723</v>
      </c>
      <c r="AC23" s="431"/>
      <c r="AD23" s="475">
        <v>3193</v>
      </c>
      <c r="AE23" s="475">
        <v>3281</v>
      </c>
      <c r="AF23" s="475">
        <v>3079</v>
      </c>
      <c r="AG23" s="475">
        <v>3389</v>
      </c>
      <c r="AH23" s="475">
        <v>12942</v>
      </c>
      <c r="AI23" s="476"/>
      <c r="AJ23" s="475">
        <v>3392</v>
      </c>
      <c r="AK23" s="475">
        <v>3107</v>
      </c>
      <c r="AL23" s="475">
        <v>3171</v>
      </c>
      <c r="AM23" s="475">
        <v>3107</v>
      </c>
      <c r="AN23" s="475">
        <v>12777</v>
      </c>
      <c r="AO23" s="476"/>
      <c r="AP23" s="475">
        <v>2904</v>
      </c>
      <c r="AQ23" s="475">
        <v>2726</v>
      </c>
      <c r="AR23" s="475">
        <v>2758</v>
      </c>
      <c r="AS23" s="475">
        <v>2721</v>
      </c>
      <c r="AT23" s="475">
        <v>11109</v>
      </c>
      <c r="AU23" s="211"/>
    </row>
    <row r="24" spans="1:47" s="162" customFormat="1" ht="15" hidden="1" customHeight="1" outlineLevel="1" x14ac:dyDescent="0.2">
      <c r="A24" s="212" t="str">
        <f>IF(Contents!$A$1=2,"Realized average sales prices","Средняя цена реализации")</f>
        <v>Средняя цена реализации</v>
      </c>
      <c r="B24" s="264" t="str">
        <f>IF(Contents!$A$1=2,"RUB/th. m³","руб./тыс м³")</f>
        <v>руб./тыс м³</v>
      </c>
      <c r="C24" s="169"/>
      <c r="D24" s="427">
        <v>0</v>
      </c>
      <c r="E24" s="428"/>
      <c r="F24" s="427">
        <v>0</v>
      </c>
      <c r="G24" s="427">
        <v>0</v>
      </c>
      <c r="H24" s="427">
        <v>0</v>
      </c>
      <c r="I24" s="427">
        <v>0</v>
      </c>
      <c r="J24" s="427">
        <v>0</v>
      </c>
      <c r="K24" s="428"/>
      <c r="L24" s="427">
        <v>0</v>
      </c>
      <c r="M24" s="427">
        <v>0</v>
      </c>
      <c r="N24" s="427">
        <v>0</v>
      </c>
      <c r="O24" s="427">
        <v>0</v>
      </c>
      <c r="P24" s="427">
        <v>0</v>
      </c>
      <c r="Q24" s="431"/>
      <c r="R24" s="478">
        <v>2197</v>
      </c>
      <c r="S24" s="478">
        <v>2198.163094906763</v>
      </c>
      <c r="T24" s="478">
        <v>2269.8921597201979</v>
      </c>
      <c r="U24" s="478">
        <v>2379</v>
      </c>
      <c r="V24" s="478">
        <v>2262</v>
      </c>
      <c r="W24" s="431"/>
      <c r="X24" s="478">
        <v>2392</v>
      </c>
      <c r="Y24" s="478">
        <v>2400</v>
      </c>
      <c r="Z24" s="478">
        <v>2429</v>
      </c>
      <c r="AA24" s="478">
        <v>2504</v>
      </c>
      <c r="AB24" s="478">
        <v>2430</v>
      </c>
      <c r="AC24" s="431"/>
      <c r="AD24" s="478">
        <v>2495</v>
      </c>
      <c r="AE24" s="478">
        <v>2487</v>
      </c>
      <c r="AF24" s="478">
        <v>2496</v>
      </c>
      <c r="AG24" s="478">
        <v>2562</v>
      </c>
      <c r="AH24" s="478">
        <v>2510</v>
      </c>
      <c r="AI24" s="479"/>
      <c r="AJ24" s="478">
        <v>2532</v>
      </c>
      <c r="AK24" s="478">
        <v>2495</v>
      </c>
      <c r="AL24" s="478">
        <v>2560</v>
      </c>
      <c r="AM24" s="478">
        <v>2636</v>
      </c>
      <c r="AN24" s="478">
        <v>2555</v>
      </c>
      <c r="AO24" s="479"/>
      <c r="AP24" s="478">
        <v>2626</v>
      </c>
      <c r="AQ24" s="478">
        <v>2603</v>
      </c>
      <c r="AR24" s="478">
        <v>2725</v>
      </c>
      <c r="AS24" s="478">
        <v>2748</v>
      </c>
      <c r="AT24" s="478">
        <v>2675</v>
      </c>
      <c r="AU24" s="211"/>
    </row>
    <row r="25" spans="1:47" s="162" customFormat="1" ht="15" hidden="1" customHeight="1" outlineLevel="1" x14ac:dyDescent="0.2">
      <c r="A25" s="168" t="str">
        <f>IF(Contents!$A$1=2,"Sales of energy and related services","Энергия и сопутствующие услуги")</f>
        <v>Энергия и сопутствующие услуги</v>
      </c>
      <c r="B25" s="255" t="str">
        <f>IF(Contents!$A$1=2,"mln RUB","млн руб.")</f>
        <v>млн руб.</v>
      </c>
      <c r="C25" s="169"/>
      <c r="D25" s="427">
        <v>54922</v>
      </c>
      <c r="E25" s="428"/>
      <c r="F25" s="427">
        <v>17897</v>
      </c>
      <c r="G25" s="427">
        <v>11523</v>
      </c>
      <c r="H25" s="427">
        <v>11521</v>
      </c>
      <c r="I25" s="427">
        <v>17296</v>
      </c>
      <c r="J25" s="427">
        <v>58237</v>
      </c>
      <c r="K25" s="428"/>
      <c r="L25" s="427">
        <v>19036</v>
      </c>
      <c r="M25" s="427">
        <v>11642</v>
      </c>
      <c r="N25" s="427">
        <v>12268</v>
      </c>
      <c r="O25" s="419">
        <v>18974</v>
      </c>
      <c r="P25" s="419">
        <v>61920</v>
      </c>
      <c r="Q25" s="431"/>
      <c r="R25" s="427">
        <v>20062</v>
      </c>
      <c r="S25" s="427">
        <v>12126</v>
      </c>
      <c r="T25" s="427">
        <v>12725</v>
      </c>
      <c r="U25" s="419">
        <v>16115</v>
      </c>
      <c r="V25" s="419">
        <v>61028</v>
      </c>
      <c r="W25" s="431"/>
      <c r="X25" s="427">
        <v>17758</v>
      </c>
      <c r="Y25" s="427">
        <v>10545</v>
      </c>
      <c r="Z25" s="427">
        <v>10432</v>
      </c>
      <c r="AA25" s="419">
        <v>15618</v>
      </c>
      <c r="AB25" s="419">
        <v>54353</v>
      </c>
      <c r="AC25" s="431"/>
      <c r="AD25" s="419">
        <v>17888</v>
      </c>
      <c r="AE25" s="419">
        <v>10462</v>
      </c>
      <c r="AF25" s="419">
        <v>10483</v>
      </c>
      <c r="AG25" s="419">
        <v>14443</v>
      </c>
      <c r="AH25" s="419">
        <v>53276</v>
      </c>
      <c r="AI25" s="431"/>
      <c r="AJ25" s="419">
        <v>17580</v>
      </c>
      <c r="AK25" s="419">
        <v>10114</v>
      </c>
      <c r="AL25" s="419">
        <v>10010</v>
      </c>
      <c r="AM25" s="419">
        <v>15903</v>
      </c>
      <c r="AN25" s="419">
        <v>53607</v>
      </c>
      <c r="AO25" s="431"/>
      <c r="AP25" s="419">
        <v>19840</v>
      </c>
      <c r="AQ25" s="419">
        <v>10440</v>
      </c>
      <c r="AR25" s="419">
        <v>10852</v>
      </c>
      <c r="AS25" s="419">
        <v>16095</v>
      </c>
      <c r="AT25" s="419">
        <v>57227</v>
      </c>
      <c r="AU25" s="211"/>
    </row>
    <row r="26" spans="1:47" s="162" customFormat="1" ht="15" hidden="1" customHeight="1" outlineLevel="1" x14ac:dyDescent="0.2">
      <c r="A26" s="168" t="str">
        <f>IF(Contents!$A$1=2,"Other","Прочее")</f>
        <v>Прочее</v>
      </c>
      <c r="B26" s="255" t="str">
        <f>IF(Contents!$A$1=2,"mln RUB","млн руб.")</f>
        <v>млн руб.</v>
      </c>
      <c r="C26" s="169"/>
      <c r="D26" s="427">
        <v>32186</v>
      </c>
      <c r="E26" s="428"/>
      <c r="F26" s="427">
        <v>8831</v>
      </c>
      <c r="G26" s="427">
        <v>9797</v>
      </c>
      <c r="H26" s="427">
        <v>11492</v>
      </c>
      <c r="I26" s="427">
        <v>11014</v>
      </c>
      <c r="J26" s="427">
        <v>41134</v>
      </c>
      <c r="K26" s="428"/>
      <c r="L26" s="427">
        <v>10219</v>
      </c>
      <c r="M26" s="427">
        <v>12677</v>
      </c>
      <c r="N26" s="427">
        <v>12616</v>
      </c>
      <c r="O26" s="419">
        <v>11355</v>
      </c>
      <c r="P26" s="419">
        <v>46867</v>
      </c>
      <c r="Q26" s="431"/>
      <c r="R26" s="427">
        <v>10277</v>
      </c>
      <c r="S26" s="427">
        <v>11403</v>
      </c>
      <c r="T26" s="427">
        <v>12551</v>
      </c>
      <c r="U26" s="419">
        <v>11496</v>
      </c>
      <c r="V26" s="419">
        <v>45727</v>
      </c>
      <c r="W26" s="431"/>
      <c r="X26" s="427">
        <v>10179</v>
      </c>
      <c r="Y26" s="427">
        <v>12084</v>
      </c>
      <c r="Z26" s="427">
        <v>12247</v>
      </c>
      <c r="AA26" s="419">
        <v>11617</v>
      </c>
      <c r="AB26" s="419">
        <v>46127</v>
      </c>
      <c r="AC26" s="431"/>
      <c r="AD26" s="419">
        <v>9917</v>
      </c>
      <c r="AE26" s="419">
        <v>10797</v>
      </c>
      <c r="AF26" s="419">
        <v>11404</v>
      </c>
      <c r="AG26" s="419">
        <v>10152</v>
      </c>
      <c r="AH26" s="419">
        <v>42270</v>
      </c>
      <c r="AI26" s="431"/>
      <c r="AJ26" s="419">
        <v>9319</v>
      </c>
      <c r="AK26" s="419">
        <v>8964</v>
      </c>
      <c r="AL26" s="419">
        <v>11492</v>
      </c>
      <c r="AM26" s="419">
        <v>10394</v>
      </c>
      <c r="AN26" s="419">
        <v>40169</v>
      </c>
      <c r="AO26" s="431"/>
      <c r="AP26" s="419">
        <v>10310</v>
      </c>
      <c r="AQ26" s="419">
        <v>11843</v>
      </c>
      <c r="AR26" s="419">
        <v>14457</v>
      </c>
      <c r="AS26" s="419">
        <v>11987</v>
      </c>
      <c r="AT26" s="419">
        <v>48597</v>
      </c>
      <c r="AU26" s="211"/>
    </row>
    <row r="27" spans="1:47" ht="15" customHeight="1" collapsed="1" x14ac:dyDescent="0.2">
      <c r="A27" s="100" t="str">
        <f>IF(Contents!$A$1=2,"International markets","За рубежом")</f>
        <v>За рубежом</v>
      </c>
      <c r="B27" s="250" t="str">
        <f>IF(Contents!$A$1=2,"mln RUB","млн руб.")</f>
        <v>млн руб.</v>
      </c>
      <c r="C27" s="82"/>
      <c r="D27" s="474">
        <v>4623030</v>
      </c>
      <c r="E27" s="470"/>
      <c r="F27" s="474">
        <v>1232829</v>
      </c>
      <c r="G27" s="474">
        <v>1252741</v>
      </c>
      <c r="H27" s="474">
        <v>1218005</v>
      </c>
      <c r="I27" s="474">
        <v>1129252</v>
      </c>
      <c r="J27" s="474">
        <v>4832827</v>
      </c>
      <c r="K27" s="470"/>
      <c r="L27" s="474">
        <v>978486</v>
      </c>
      <c r="M27" s="474">
        <v>1127629</v>
      </c>
      <c r="N27" s="474">
        <v>1050863</v>
      </c>
      <c r="O27" s="429">
        <v>1166847</v>
      </c>
      <c r="P27" s="429">
        <v>4323825</v>
      </c>
      <c r="Q27" s="430"/>
      <c r="R27" s="474">
        <v>1213209</v>
      </c>
      <c r="S27" s="474">
        <v>1123937</v>
      </c>
      <c r="T27" s="474">
        <v>1212137</v>
      </c>
      <c r="U27" s="429">
        <v>1401580</v>
      </c>
      <c r="V27" s="429">
        <v>4950863</v>
      </c>
      <c r="W27" s="430"/>
      <c r="X27" s="429">
        <v>1381762</v>
      </c>
      <c r="Y27" s="429">
        <v>1770677</v>
      </c>
      <c r="Z27" s="474">
        <v>1983889</v>
      </c>
      <c r="AA27" s="429">
        <v>1734044</v>
      </c>
      <c r="AB27" s="429">
        <v>6870372</v>
      </c>
      <c r="AC27" s="430"/>
      <c r="AD27" s="429">
        <v>1587544</v>
      </c>
      <c r="AE27" s="429">
        <v>1845694</v>
      </c>
      <c r="AF27" s="429">
        <v>1658485</v>
      </c>
      <c r="AG27" s="429">
        <v>1634273</v>
      </c>
      <c r="AH27" s="429">
        <v>6725996</v>
      </c>
      <c r="AI27" s="430"/>
      <c r="AJ27" s="429">
        <v>1409072</v>
      </c>
      <c r="AK27" s="429">
        <v>786051</v>
      </c>
      <c r="AL27" s="429">
        <v>1187593</v>
      </c>
      <c r="AM27" s="429">
        <v>1284689</v>
      </c>
      <c r="AN27" s="429">
        <v>4667405</v>
      </c>
      <c r="AO27" s="430"/>
      <c r="AP27" s="429">
        <v>1618465</v>
      </c>
      <c r="AQ27" s="429">
        <v>1889426</v>
      </c>
      <c r="AR27" s="429">
        <v>2210934</v>
      </c>
      <c r="AS27" s="429">
        <v>2392690</v>
      </c>
      <c r="AT27" s="429">
        <v>8111515</v>
      </c>
      <c r="AU27" s="211"/>
    </row>
    <row r="28" spans="1:47" s="162" customFormat="1" ht="15" hidden="1" customHeight="1" outlineLevel="1" x14ac:dyDescent="0.2">
      <c r="A28" s="168" t="str">
        <f>IF(Contents!$A$1=2,"Crude oil export and sales to Customs Union","Нефть в странах Таможенного союза")</f>
        <v>Нефть в странах Таможенного союза</v>
      </c>
      <c r="B28" s="255" t="str">
        <f>IF(Contents!$A$1=2,"mln RUB","млн руб.")</f>
        <v>млн руб.</v>
      </c>
      <c r="C28" s="169"/>
      <c r="D28" s="427">
        <v>60550</v>
      </c>
      <c r="E28" s="428"/>
      <c r="F28" s="427">
        <v>14323</v>
      </c>
      <c r="G28" s="427">
        <v>13776</v>
      </c>
      <c r="H28" s="427">
        <v>9409</v>
      </c>
      <c r="I28" s="427">
        <v>11669</v>
      </c>
      <c r="J28" s="427">
        <v>49177</v>
      </c>
      <c r="K28" s="428"/>
      <c r="L28" s="427">
        <v>12402</v>
      </c>
      <c r="M28" s="427">
        <v>15366</v>
      </c>
      <c r="N28" s="427">
        <v>8411</v>
      </c>
      <c r="O28" s="419">
        <v>6709</v>
      </c>
      <c r="P28" s="419">
        <v>42888</v>
      </c>
      <c r="Q28" s="431"/>
      <c r="R28" s="427">
        <v>6583</v>
      </c>
      <c r="S28" s="427">
        <v>15526</v>
      </c>
      <c r="T28" s="427">
        <v>11473</v>
      </c>
      <c r="U28" s="419">
        <v>13216</v>
      </c>
      <c r="V28" s="419">
        <v>46798</v>
      </c>
      <c r="W28" s="431"/>
      <c r="X28" s="427">
        <v>13765</v>
      </c>
      <c r="Y28" s="427">
        <v>17224</v>
      </c>
      <c r="Z28" s="427">
        <v>17233</v>
      </c>
      <c r="AA28" s="419">
        <v>16006</v>
      </c>
      <c r="AB28" s="419">
        <v>64228</v>
      </c>
      <c r="AC28" s="431"/>
      <c r="AD28" s="419">
        <v>16581</v>
      </c>
      <c r="AE28" s="419">
        <v>15191</v>
      </c>
      <c r="AF28" s="419">
        <v>16897</v>
      </c>
      <c r="AG28" s="419">
        <v>16221</v>
      </c>
      <c r="AH28" s="419">
        <v>64890</v>
      </c>
      <c r="AI28" s="431"/>
      <c r="AJ28" s="419">
        <v>0</v>
      </c>
      <c r="AK28" s="419">
        <v>5879</v>
      </c>
      <c r="AL28" s="419">
        <v>12648</v>
      </c>
      <c r="AM28" s="419">
        <v>11610</v>
      </c>
      <c r="AN28" s="419">
        <v>30137</v>
      </c>
      <c r="AO28" s="431"/>
      <c r="AP28" s="419">
        <v>15864</v>
      </c>
      <c r="AQ28" s="419">
        <v>15003</v>
      </c>
      <c r="AR28" s="419">
        <v>18083</v>
      </c>
      <c r="AS28" s="419">
        <v>13275</v>
      </c>
      <c r="AT28" s="419">
        <v>62225</v>
      </c>
      <c r="AU28" s="211"/>
    </row>
    <row r="29" spans="1:47" s="162" customFormat="1" ht="15" hidden="1" customHeight="1" outlineLevel="1" x14ac:dyDescent="0.2">
      <c r="A29" s="321" t="str">
        <f>IF(Contents!$A$1=2,"Sales volumes","Объем продаж")</f>
        <v>Объем продаж</v>
      </c>
      <c r="B29" s="322" t="str">
        <f>IF(Contents!$A$1=2,"th. t","тыс. т")</f>
        <v>тыс. т</v>
      </c>
      <c r="C29" s="323"/>
      <c r="D29" s="475">
        <v>4665</v>
      </c>
      <c r="E29" s="476"/>
      <c r="F29" s="475">
        <v>924</v>
      </c>
      <c r="G29" s="475">
        <v>852</v>
      </c>
      <c r="H29" s="475">
        <v>648</v>
      </c>
      <c r="I29" s="475">
        <v>874</v>
      </c>
      <c r="J29" s="475">
        <v>3298</v>
      </c>
      <c r="K29" s="476"/>
      <c r="L29" s="475">
        <v>973</v>
      </c>
      <c r="M29" s="475">
        <v>959</v>
      </c>
      <c r="N29" s="475">
        <v>577</v>
      </c>
      <c r="O29" s="471">
        <v>433</v>
      </c>
      <c r="P29" s="471">
        <v>2942</v>
      </c>
      <c r="Q29" s="477"/>
      <c r="R29" s="475">
        <v>392</v>
      </c>
      <c r="S29" s="475">
        <v>1011</v>
      </c>
      <c r="T29" s="475">
        <v>680</v>
      </c>
      <c r="U29" s="471">
        <v>658</v>
      </c>
      <c r="V29" s="471">
        <v>2741</v>
      </c>
      <c r="W29" s="477"/>
      <c r="X29" s="475">
        <v>689</v>
      </c>
      <c r="Y29" s="475">
        <v>693</v>
      </c>
      <c r="Z29" s="475">
        <v>680</v>
      </c>
      <c r="AA29" s="471">
        <v>692</v>
      </c>
      <c r="AB29" s="471">
        <v>2754</v>
      </c>
      <c r="AC29" s="477"/>
      <c r="AD29" s="471">
        <v>684</v>
      </c>
      <c r="AE29" s="471">
        <v>609</v>
      </c>
      <c r="AF29" s="471">
        <v>758</v>
      </c>
      <c r="AG29" s="471">
        <v>702</v>
      </c>
      <c r="AH29" s="471">
        <v>2753</v>
      </c>
      <c r="AI29" s="477"/>
      <c r="AJ29" s="471">
        <v>0</v>
      </c>
      <c r="AK29" s="471">
        <v>461</v>
      </c>
      <c r="AL29" s="471">
        <v>669</v>
      </c>
      <c r="AM29" s="471">
        <v>669</v>
      </c>
      <c r="AN29" s="471">
        <v>1799</v>
      </c>
      <c r="AO29" s="477"/>
      <c r="AP29" s="471">
        <v>568</v>
      </c>
      <c r="AQ29" s="471">
        <v>490</v>
      </c>
      <c r="AR29" s="471">
        <v>559</v>
      </c>
      <c r="AS29" s="471">
        <v>375</v>
      </c>
      <c r="AT29" s="471">
        <v>1992</v>
      </c>
      <c r="AU29" s="211"/>
    </row>
    <row r="30" spans="1:47" s="162" customFormat="1" ht="15" hidden="1" customHeight="1" outlineLevel="1" x14ac:dyDescent="0.2">
      <c r="A30" s="212" t="str">
        <f>IF(Contents!$A$1=2,"Realized average sales prices","Средняя цена реализации")</f>
        <v>Средняя цена реализации</v>
      </c>
      <c r="B30" s="264" t="str">
        <f>IF(Contents!$A$1=2,"RUB/t","руб./т")</f>
        <v>руб./т</v>
      </c>
      <c r="C30" s="169"/>
      <c r="D30" s="478">
        <v>12979.635584137191</v>
      </c>
      <c r="E30" s="479"/>
      <c r="F30" s="478">
        <v>15501.082251082251</v>
      </c>
      <c r="G30" s="478">
        <v>16169.014084507044</v>
      </c>
      <c r="H30" s="478">
        <v>14520.061728395061</v>
      </c>
      <c r="I30" s="478">
        <v>13351.258581235697</v>
      </c>
      <c r="J30" s="478">
        <v>14911.158277744087</v>
      </c>
      <c r="K30" s="479"/>
      <c r="L30" s="478">
        <v>12746.145940390545</v>
      </c>
      <c r="M30" s="478">
        <v>16022.940563086549</v>
      </c>
      <c r="N30" s="478">
        <v>14577.123050259965</v>
      </c>
      <c r="O30" s="480">
        <v>15494.226327944572</v>
      </c>
      <c r="P30" s="480">
        <v>14577.838205302516</v>
      </c>
      <c r="Q30" s="481"/>
      <c r="R30" s="478">
        <v>16793.367346938776</v>
      </c>
      <c r="S30" s="478">
        <v>15357.072205736895</v>
      </c>
      <c r="T30" s="478">
        <v>16872.058823529413</v>
      </c>
      <c r="U30" s="480">
        <v>20085.106382978724</v>
      </c>
      <c r="V30" s="480">
        <v>17073.330901130972</v>
      </c>
      <c r="W30" s="481"/>
      <c r="X30" s="478">
        <v>19978.229317851958</v>
      </c>
      <c r="Y30" s="478">
        <v>24854.256854256852</v>
      </c>
      <c r="Z30" s="478">
        <v>25342.647058823532</v>
      </c>
      <c r="AA30" s="480">
        <v>23130.057803468208</v>
      </c>
      <c r="AB30" s="480">
        <v>23321.713870733478</v>
      </c>
      <c r="AC30" s="481"/>
      <c r="AD30" s="480">
        <v>24241.228070175439</v>
      </c>
      <c r="AE30" s="480">
        <v>24944.170771756981</v>
      </c>
      <c r="AF30" s="480">
        <v>22291.55672823219</v>
      </c>
      <c r="AG30" s="480">
        <v>23106.837606837609</v>
      </c>
      <c r="AH30" s="480">
        <v>23570.650199782056</v>
      </c>
      <c r="AI30" s="481"/>
      <c r="AJ30" s="480">
        <v>0</v>
      </c>
      <c r="AK30" s="480">
        <v>12752.711496746204</v>
      </c>
      <c r="AL30" s="480">
        <v>18905.829596412557</v>
      </c>
      <c r="AM30" s="480">
        <v>17354.2600896861</v>
      </c>
      <c r="AN30" s="480">
        <v>16752.084491384103</v>
      </c>
      <c r="AO30" s="481"/>
      <c r="AP30" s="480">
        <v>27929.577464788734</v>
      </c>
      <c r="AQ30" s="480">
        <v>30618.367346938776</v>
      </c>
      <c r="AR30" s="480">
        <v>32348.837209302324</v>
      </c>
      <c r="AS30" s="480">
        <v>35400</v>
      </c>
      <c r="AT30" s="480">
        <v>31237.449799196787</v>
      </c>
      <c r="AU30" s="211"/>
    </row>
    <row r="31" spans="1:47" s="162" customFormat="1" ht="15" hidden="1" customHeight="1" outlineLevel="1" x14ac:dyDescent="0.2">
      <c r="A31" s="168" t="str">
        <f>IF(Contents!$A$1=2,"Crude oil export and sales on international markets other than Customs Union","Нефть вне стран Таможенного союза")</f>
        <v>Нефть вне стран Таможенного союза</v>
      </c>
      <c r="B31" s="255" t="str">
        <f>IF(Contents!$A$1=2,"mln RUB","млн руб.")</f>
        <v>млн руб.</v>
      </c>
      <c r="C31" s="169"/>
      <c r="D31" s="427">
        <v>1077111</v>
      </c>
      <c r="E31" s="428"/>
      <c r="F31" s="427">
        <v>325987</v>
      </c>
      <c r="G31" s="427">
        <v>329968</v>
      </c>
      <c r="H31" s="427">
        <v>232523</v>
      </c>
      <c r="I31" s="427">
        <v>267422</v>
      </c>
      <c r="J31" s="427">
        <v>1155900</v>
      </c>
      <c r="K31" s="428"/>
      <c r="L31" s="428">
        <v>248228</v>
      </c>
      <c r="M31" s="428">
        <v>310014</v>
      </c>
      <c r="N31" s="427">
        <v>306259</v>
      </c>
      <c r="O31" s="419">
        <v>374335</v>
      </c>
      <c r="P31" s="419">
        <v>1238836</v>
      </c>
      <c r="Q31" s="431"/>
      <c r="R31" s="428">
        <v>382203</v>
      </c>
      <c r="S31" s="428">
        <v>340942</v>
      </c>
      <c r="T31" s="428">
        <v>348206</v>
      </c>
      <c r="U31" s="419">
        <v>485460</v>
      </c>
      <c r="V31" s="419">
        <v>1556811</v>
      </c>
      <c r="W31" s="431"/>
      <c r="X31" s="428">
        <v>454627</v>
      </c>
      <c r="Y31" s="428">
        <v>702110</v>
      </c>
      <c r="Z31" s="428">
        <v>769427</v>
      </c>
      <c r="AA31" s="419">
        <v>633414</v>
      </c>
      <c r="AB31" s="419">
        <v>2559578</v>
      </c>
      <c r="AC31" s="431"/>
      <c r="AD31" s="419">
        <v>581528</v>
      </c>
      <c r="AE31" s="419">
        <v>722518</v>
      </c>
      <c r="AF31" s="419">
        <v>627510</v>
      </c>
      <c r="AG31" s="419">
        <v>644015</v>
      </c>
      <c r="AH31" s="419">
        <v>2575571</v>
      </c>
      <c r="AI31" s="431"/>
      <c r="AJ31" s="419">
        <v>616744</v>
      </c>
      <c r="AK31" s="419">
        <v>289402</v>
      </c>
      <c r="AL31" s="419">
        <v>476913</v>
      </c>
      <c r="AM31" s="419">
        <v>455450</v>
      </c>
      <c r="AN31" s="419">
        <v>1838509</v>
      </c>
      <c r="AO31" s="431"/>
      <c r="AP31" s="419">
        <v>633361</v>
      </c>
      <c r="AQ31" s="419">
        <v>786818</v>
      </c>
      <c r="AR31" s="419">
        <v>960495</v>
      </c>
      <c r="AS31" s="419">
        <v>1026888</v>
      </c>
      <c r="AT31" s="419">
        <v>3407562</v>
      </c>
      <c r="AU31" s="211"/>
    </row>
    <row r="32" spans="1:47" s="162" customFormat="1" ht="15" hidden="1" customHeight="1" outlineLevel="1" x14ac:dyDescent="0.2">
      <c r="A32" s="321" t="str">
        <f>IF(Contents!$A$1=2,"Sales volumes","Объем продаж")</f>
        <v>Объем продаж</v>
      </c>
      <c r="B32" s="322" t="str">
        <f>IF(Contents!$A$1=2,"th. t","тыс. т")</f>
        <v>тыс. т</v>
      </c>
      <c r="C32" s="323"/>
      <c r="D32" s="475">
        <v>40222</v>
      </c>
      <c r="E32" s="476"/>
      <c r="F32" s="475">
        <v>13912</v>
      </c>
      <c r="G32" s="475">
        <v>14832</v>
      </c>
      <c r="H32" s="475">
        <v>10559</v>
      </c>
      <c r="I32" s="475">
        <v>14774</v>
      </c>
      <c r="J32" s="475">
        <v>54077</v>
      </c>
      <c r="K32" s="476"/>
      <c r="L32" s="475">
        <v>15020</v>
      </c>
      <c r="M32" s="475">
        <v>15299</v>
      </c>
      <c r="N32" s="475">
        <v>15150</v>
      </c>
      <c r="O32" s="471">
        <v>16849</v>
      </c>
      <c r="P32" s="471">
        <v>62318</v>
      </c>
      <c r="Q32" s="477"/>
      <c r="R32" s="475">
        <v>17007</v>
      </c>
      <c r="S32" s="475">
        <v>16583</v>
      </c>
      <c r="T32" s="475">
        <v>15626</v>
      </c>
      <c r="U32" s="471">
        <v>18719</v>
      </c>
      <c r="V32" s="471">
        <v>67935</v>
      </c>
      <c r="W32" s="477"/>
      <c r="X32" s="475">
        <v>16551</v>
      </c>
      <c r="Y32" s="475">
        <v>21424</v>
      </c>
      <c r="Z32" s="475">
        <v>21651</v>
      </c>
      <c r="AA32" s="471">
        <v>19288</v>
      </c>
      <c r="AB32" s="471">
        <v>78914</v>
      </c>
      <c r="AC32" s="477"/>
      <c r="AD32" s="471">
        <v>18980</v>
      </c>
      <c r="AE32" s="471">
        <v>22388</v>
      </c>
      <c r="AF32" s="471">
        <v>21125</v>
      </c>
      <c r="AG32" s="471">
        <v>21788</v>
      </c>
      <c r="AH32" s="471">
        <v>84281</v>
      </c>
      <c r="AI32" s="477"/>
      <c r="AJ32" s="471">
        <v>23905</v>
      </c>
      <c r="AK32" s="471">
        <v>18129</v>
      </c>
      <c r="AL32" s="471">
        <v>20670</v>
      </c>
      <c r="AM32" s="471">
        <v>18687</v>
      </c>
      <c r="AN32" s="471">
        <v>81391</v>
      </c>
      <c r="AO32" s="477"/>
      <c r="AP32" s="471">
        <v>19637</v>
      </c>
      <c r="AQ32" s="471">
        <v>21496</v>
      </c>
      <c r="AR32" s="471">
        <v>24480</v>
      </c>
      <c r="AS32" s="471">
        <v>23604</v>
      </c>
      <c r="AT32" s="471">
        <v>89217</v>
      </c>
      <c r="AU32" s="211"/>
    </row>
    <row r="33" spans="1:47" s="162" customFormat="1" ht="15" hidden="1" customHeight="1" outlineLevel="1" x14ac:dyDescent="0.2">
      <c r="A33" s="212" t="str">
        <f>IF(Contents!$A$1=2,"Realized average sales prices","Средняя цена реализации")</f>
        <v>Средняя цена реализации</v>
      </c>
      <c r="B33" s="264" t="str">
        <f>IF(Contents!$A$1=2,"RUB/t","руб./т")</f>
        <v>руб./т</v>
      </c>
      <c r="C33" s="169"/>
      <c r="D33" s="478">
        <v>26779.150713539853</v>
      </c>
      <c r="E33" s="479"/>
      <c r="F33" s="478">
        <v>23432.073030477288</v>
      </c>
      <c r="G33" s="478">
        <v>22247.033441208197</v>
      </c>
      <c r="H33" s="478">
        <v>22021.308836064021</v>
      </c>
      <c r="I33" s="478">
        <v>18100.852849600647</v>
      </c>
      <c r="J33" s="478">
        <v>21375.07628011909</v>
      </c>
      <c r="K33" s="479"/>
      <c r="L33" s="478">
        <v>16526.498002663113</v>
      </c>
      <c r="M33" s="478">
        <v>20263.677364533632</v>
      </c>
      <c r="N33" s="478">
        <v>20215.115511551154</v>
      </c>
      <c r="O33" s="480">
        <v>22217.045521989436</v>
      </c>
      <c r="P33" s="480">
        <v>19879.264417985174</v>
      </c>
      <c r="Q33" s="481"/>
      <c r="R33" s="478">
        <v>22473.275710001766</v>
      </c>
      <c r="S33" s="478">
        <v>20559.729843815956</v>
      </c>
      <c r="T33" s="478">
        <v>22283.75783949827</v>
      </c>
      <c r="U33" s="480">
        <v>25934.07767508948</v>
      </c>
      <c r="V33" s="480">
        <v>22916.184588209318</v>
      </c>
      <c r="W33" s="481"/>
      <c r="X33" s="478">
        <v>27468.249652588966</v>
      </c>
      <c r="Y33" s="478">
        <v>32772.12471994025</v>
      </c>
      <c r="Z33" s="478">
        <v>35537.711883977645</v>
      </c>
      <c r="AA33" s="480">
        <v>32839.796764827872</v>
      </c>
      <c r="AB33" s="480">
        <v>32435.030539574727</v>
      </c>
      <c r="AC33" s="481"/>
      <c r="AD33" s="480">
        <v>30638.988408851423</v>
      </c>
      <c r="AE33" s="480">
        <v>32272.55672681794</v>
      </c>
      <c r="AF33" s="480">
        <v>29704.615384615383</v>
      </c>
      <c r="AG33" s="480">
        <v>29558.243069579585</v>
      </c>
      <c r="AH33" s="480">
        <v>30559.331284631175</v>
      </c>
      <c r="AI33" s="481"/>
      <c r="AJ33" s="480">
        <v>25799.790838736666</v>
      </c>
      <c r="AK33" s="480">
        <v>15963.483920789895</v>
      </c>
      <c r="AL33" s="480">
        <v>23072.714078374458</v>
      </c>
      <c r="AM33" s="480">
        <v>24372.55846310269</v>
      </c>
      <c r="AN33" s="480">
        <v>22588.603162511827</v>
      </c>
      <c r="AO33" s="481"/>
      <c r="AP33" s="480">
        <v>32253.450119672045</v>
      </c>
      <c r="AQ33" s="480">
        <v>36602.995906215103</v>
      </c>
      <c r="AR33" s="480">
        <v>39235.906862745098</v>
      </c>
      <c r="AS33" s="480">
        <v>43504.829689883074</v>
      </c>
      <c r="AT33" s="480">
        <v>38194.088570563908</v>
      </c>
      <c r="AU33" s="211"/>
    </row>
    <row r="34" spans="1:47" s="162" customFormat="1" ht="15" hidden="1" customHeight="1" outlineLevel="1" x14ac:dyDescent="0.2">
      <c r="A34" s="168" t="str">
        <f>IF(Contents!$A$1=2,"Cost compensation and remuneration at the West Qurna-2 project","Возмещение затрат и вознаграждение по проекту Западная Курна-2")</f>
        <v>Возмещение затрат и вознаграждение по проекту Западная Курна-2</v>
      </c>
      <c r="B34" s="255" t="str">
        <f>IF(Contents!$A$1=2,"mln RUB","млн руб.")</f>
        <v>млн руб.</v>
      </c>
      <c r="C34" s="169"/>
      <c r="D34" s="427">
        <v>141470</v>
      </c>
      <c r="E34" s="428"/>
      <c r="F34" s="427">
        <v>39927</v>
      </c>
      <c r="G34" s="427">
        <v>47020</v>
      </c>
      <c r="H34" s="427">
        <v>55925</v>
      </c>
      <c r="I34" s="427">
        <v>42006</v>
      </c>
      <c r="J34" s="427">
        <v>184878</v>
      </c>
      <c r="K34" s="428"/>
      <c r="L34" s="428">
        <v>31918</v>
      </c>
      <c r="M34" s="428">
        <v>15478</v>
      </c>
      <c r="N34" s="427">
        <v>12277</v>
      </c>
      <c r="O34" s="419">
        <v>11937</v>
      </c>
      <c r="P34" s="419">
        <v>71610</v>
      </c>
      <c r="Q34" s="431"/>
      <c r="R34" s="428">
        <v>7634</v>
      </c>
      <c r="S34" s="428">
        <v>8647</v>
      </c>
      <c r="T34" s="428">
        <v>9522</v>
      </c>
      <c r="U34" s="419">
        <v>11826</v>
      </c>
      <c r="V34" s="419">
        <v>37629</v>
      </c>
      <c r="W34" s="431"/>
      <c r="X34" s="428">
        <v>9359</v>
      </c>
      <c r="Y34" s="428">
        <v>10685</v>
      </c>
      <c r="Z34" s="428">
        <v>13646</v>
      </c>
      <c r="AA34" s="419">
        <v>8660</v>
      </c>
      <c r="AB34" s="419">
        <v>42350</v>
      </c>
      <c r="AC34" s="431"/>
      <c r="AD34" s="419">
        <v>9971</v>
      </c>
      <c r="AE34" s="419">
        <v>12157</v>
      </c>
      <c r="AF34" s="419">
        <v>10619</v>
      </c>
      <c r="AG34" s="419">
        <v>11112</v>
      </c>
      <c r="AH34" s="419">
        <v>43859</v>
      </c>
      <c r="AI34" s="431"/>
      <c r="AJ34" s="419">
        <v>16190.000000000002</v>
      </c>
      <c r="AK34" s="419">
        <v>11576</v>
      </c>
      <c r="AL34" s="419">
        <v>9850</v>
      </c>
      <c r="AM34" s="419">
        <v>12682</v>
      </c>
      <c r="AN34" s="419">
        <v>50298</v>
      </c>
      <c r="AO34" s="431"/>
      <c r="AP34" s="419">
        <v>16570</v>
      </c>
      <c r="AQ34" s="419">
        <v>9682</v>
      </c>
      <c r="AR34" s="419">
        <v>11563</v>
      </c>
      <c r="AS34" s="419">
        <v>22355</v>
      </c>
      <c r="AT34" s="419">
        <v>60170</v>
      </c>
      <c r="AU34" s="211"/>
    </row>
    <row r="35" spans="1:47" s="162" customFormat="1" ht="15" hidden="1" customHeight="1" outlineLevel="1" x14ac:dyDescent="0.2">
      <c r="A35" s="321" t="str">
        <f>IF(Contents!$A$1=2,"Sales volumes","Объем продаж")</f>
        <v>Объем продаж</v>
      </c>
      <c r="B35" s="322" t="str">
        <f>IF(Contents!$A$1=2,"th. t","тыс. т")</f>
        <v>тыс. т</v>
      </c>
      <c r="C35" s="323"/>
      <c r="D35" s="475">
        <v>6087</v>
      </c>
      <c r="E35" s="476"/>
      <c r="F35" s="475">
        <v>2059</v>
      </c>
      <c r="G35" s="475">
        <v>2353</v>
      </c>
      <c r="H35" s="475">
        <v>3146</v>
      </c>
      <c r="I35" s="475">
        <v>3167</v>
      </c>
      <c r="J35" s="475">
        <v>10725</v>
      </c>
      <c r="K35" s="476"/>
      <c r="L35" s="475">
        <v>2601</v>
      </c>
      <c r="M35" s="475">
        <v>909</v>
      </c>
      <c r="N35" s="475">
        <v>967</v>
      </c>
      <c r="O35" s="471">
        <v>587</v>
      </c>
      <c r="P35" s="471">
        <v>5064</v>
      </c>
      <c r="Q35" s="477"/>
      <c r="R35" s="475">
        <v>405</v>
      </c>
      <c r="S35" s="475">
        <v>482</v>
      </c>
      <c r="T35" s="475">
        <v>539</v>
      </c>
      <c r="U35" s="471">
        <v>396</v>
      </c>
      <c r="V35" s="471">
        <v>1822</v>
      </c>
      <c r="W35" s="477"/>
      <c r="X35" s="475">
        <v>451</v>
      </c>
      <c r="Y35" s="475">
        <v>318</v>
      </c>
      <c r="Z35" s="475">
        <v>469</v>
      </c>
      <c r="AA35" s="471">
        <v>276</v>
      </c>
      <c r="AB35" s="471">
        <v>1514</v>
      </c>
      <c r="AC35" s="477"/>
      <c r="AD35" s="471">
        <v>365</v>
      </c>
      <c r="AE35" s="471">
        <v>410</v>
      </c>
      <c r="AF35" s="471">
        <v>417</v>
      </c>
      <c r="AG35" s="471">
        <v>424</v>
      </c>
      <c r="AH35" s="471">
        <v>1616</v>
      </c>
      <c r="AI35" s="477"/>
      <c r="AJ35" s="471">
        <v>721</v>
      </c>
      <c r="AK35" s="471">
        <v>1094</v>
      </c>
      <c r="AL35" s="471">
        <v>565</v>
      </c>
      <c r="AM35" s="471">
        <v>463</v>
      </c>
      <c r="AN35" s="471">
        <v>2843</v>
      </c>
      <c r="AO35" s="477"/>
      <c r="AP35" s="471">
        <v>609</v>
      </c>
      <c r="AQ35" s="471">
        <v>207</v>
      </c>
      <c r="AR35" s="471">
        <v>358</v>
      </c>
      <c r="AS35" s="471">
        <v>654</v>
      </c>
      <c r="AT35" s="471">
        <v>1828</v>
      </c>
      <c r="AU35" s="211"/>
    </row>
    <row r="36" spans="1:47" s="162" customFormat="1" ht="15" hidden="1" customHeight="1" outlineLevel="1" x14ac:dyDescent="0.2">
      <c r="A36" s="212" t="str">
        <f>IF(Contents!$A$1=2,"Realized average sales prices","Средняя цена реализации")</f>
        <v>Средняя цена реализации</v>
      </c>
      <c r="B36" s="264" t="str">
        <f>IF(Contents!$A$1=2,"RUB/t","руб./т")</f>
        <v>руб./т</v>
      </c>
      <c r="C36" s="169"/>
      <c r="D36" s="478">
        <v>23241.333990471496</v>
      </c>
      <c r="E36" s="479"/>
      <c r="F36" s="478">
        <v>19391.452161243324</v>
      </c>
      <c r="G36" s="478">
        <v>19983.000424989375</v>
      </c>
      <c r="H36" s="478">
        <v>17776.541640178002</v>
      </c>
      <c r="I36" s="478">
        <v>13263.656457215029</v>
      </c>
      <c r="J36" s="478">
        <v>17238.041958041958</v>
      </c>
      <c r="K36" s="479"/>
      <c r="L36" s="478">
        <v>12271.434063821607</v>
      </c>
      <c r="M36" s="478">
        <v>17027.502750275027</v>
      </c>
      <c r="N36" s="478">
        <v>12695.966907962771</v>
      </c>
      <c r="O36" s="480">
        <v>20335.604770017035</v>
      </c>
      <c r="P36" s="480">
        <v>14140.995260663507</v>
      </c>
      <c r="Q36" s="481"/>
      <c r="R36" s="478">
        <v>18849.382716049382</v>
      </c>
      <c r="S36" s="478">
        <v>17939.834024896263</v>
      </c>
      <c r="T36" s="478">
        <v>17666.048237476807</v>
      </c>
      <c r="U36" s="480">
        <v>29863.636363636364</v>
      </c>
      <c r="V36" s="480">
        <v>20652.579582875962</v>
      </c>
      <c r="W36" s="481"/>
      <c r="X36" s="478">
        <v>20751.662971175167</v>
      </c>
      <c r="Y36" s="478">
        <v>33600.628930817613</v>
      </c>
      <c r="Z36" s="478">
        <v>29095.948827292112</v>
      </c>
      <c r="AA36" s="480">
        <v>31376.8115942029</v>
      </c>
      <c r="AB36" s="480">
        <v>27972.258916776747</v>
      </c>
      <c r="AC36" s="481"/>
      <c r="AD36" s="480">
        <v>27317.808219178081</v>
      </c>
      <c r="AE36" s="480">
        <v>29651.219512195123</v>
      </c>
      <c r="AF36" s="480">
        <v>25465.227817745803</v>
      </c>
      <c r="AG36" s="480">
        <v>26207.547169811322</v>
      </c>
      <c r="AH36" s="480">
        <v>27140.470297029704</v>
      </c>
      <c r="AI36" s="481"/>
      <c r="AJ36" s="480">
        <v>22454.923717059643</v>
      </c>
      <c r="AK36" s="480">
        <v>10581.352833638026</v>
      </c>
      <c r="AL36" s="480">
        <v>17433.628318584069</v>
      </c>
      <c r="AM36" s="480">
        <v>27390.928725701942</v>
      </c>
      <c r="AN36" s="480">
        <v>17691.874780161801</v>
      </c>
      <c r="AO36" s="481"/>
      <c r="AP36" s="480">
        <v>27208.538587848932</v>
      </c>
      <c r="AQ36" s="480">
        <v>46772.946859903386</v>
      </c>
      <c r="AR36" s="480">
        <v>32298.882681564242</v>
      </c>
      <c r="AS36" s="480">
        <v>34181.957186544343</v>
      </c>
      <c r="AT36" s="480">
        <v>32915.754923413566</v>
      </c>
      <c r="AU36" s="211"/>
    </row>
    <row r="37" spans="1:47" s="162" customFormat="1" ht="15" hidden="1" customHeight="1" outlineLevel="1" x14ac:dyDescent="0.2">
      <c r="A37" s="168" t="str">
        <f>IF(Contents!$A$1=2,"Wholesale refined products  ","Нефтепродукты оптом")</f>
        <v>Нефтепродукты оптом</v>
      </c>
      <c r="B37" s="255" t="str">
        <f>IF(Contents!$A$1=2,"mln RUB","млн руб.")</f>
        <v>млн руб.</v>
      </c>
      <c r="C37" s="169"/>
      <c r="D37" s="428">
        <v>2810780</v>
      </c>
      <c r="E37" s="428"/>
      <c r="F37" s="428">
        <v>722754</v>
      </c>
      <c r="G37" s="428">
        <v>743051</v>
      </c>
      <c r="H37" s="428">
        <v>774774</v>
      </c>
      <c r="I37" s="428">
        <v>669039</v>
      </c>
      <c r="J37" s="428">
        <v>2909618</v>
      </c>
      <c r="K37" s="428"/>
      <c r="L37" s="427">
        <v>556584</v>
      </c>
      <c r="M37" s="427">
        <v>678358</v>
      </c>
      <c r="N37" s="427">
        <v>611782</v>
      </c>
      <c r="O37" s="419">
        <v>665537</v>
      </c>
      <c r="P37" s="419">
        <v>2512261</v>
      </c>
      <c r="Q37" s="431"/>
      <c r="R37" s="427">
        <v>714341</v>
      </c>
      <c r="S37" s="427">
        <v>653221</v>
      </c>
      <c r="T37" s="427">
        <v>725931</v>
      </c>
      <c r="U37" s="419">
        <v>769886</v>
      </c>
      <c r="V37" s="419">
        <v>2863379</v>
      </c>
      <c r="W37" s="431"/>
      <c r="X37" s="427">
        <v>783963</v>
      </c>
      <c r="Y37" s="427">
        <v>897216</v>
      </c>
      <c r="Z37" s="427">
        <v>1015461</v>
      </c>
      <c r="AA37" s="419">
        <v>915651</v>
      </c>
      <c r="AB37" s="419">
        <v>3612291</v>
      </c>
      <c r="AC37" s="431"/>
      <c r="AD37" s="419">
        <v>813461</v>
      </c>
      <c r="AE37" s="419">
        <v>938894</v>
      </c>
      <c r="AF37" s="419">
        <v>840030</v>
      </c>
      <c r="AG37" s="419">
        <v>810817</v>
      </c>
      <c r="AH37" s="419">
        <v>3403202</v>
      </c>
      <c r="AI37" s="431"/>
      <c r="AJ37" s="419">
        <v>645799</v>
      </c>
      <c r="AK37" s="419">
        <v>383779</v>
      </c>
      <c r="AL37" s="419">
        <v>555275</v>
      </c>
      <c r="AM37" s="419">
        <v>661087</v>
      </c>
      <c r="AN37" s="419">
        <v>2245940</v>
      </c>
      <c r="AO37" s="431"/>
      <c r="AP37" s="419">
        <v>795370</v>
      </c>
      <c r="AQ37" s="419">
        <v>902291</v>
      </c>
      <c r="AR37" s="419">
        <v>1018830</v>
      </c>
      <c r="AS37" s="419">
        <v>1133224</v>
      </c>
      <c r="AT37" s="419">
        <v>3849715</v>
      </c>
      <c r="AU37" s="211"/>
    </row>
    <row r="38" spans="1:47" s="162" customFormat="1" ht="15" hidden="1" customHeight="1" outlineLevel="1" x14ac:dyDescent="0.2">
      <c r="A38" s="321" t="str">
        <f>IF(Contents!$A$1=2,"Sales volumes","Объем продаж")</f>
        <v>Объем продаж</v>
      </c>
      <c r="B38" s="322" t="str">
        <f>IF(Contents!$A$1=2,"th. t","тыс. т")</f>
        <v>тыс. т</v>
      </c>
      <c r="C38" s="323"/>
      <c r="D38" s="475">
        <v>91088</v>
      </c>
      <c r="E38" s="476"/>
      <c r="F38" s="475">
        <v>24055</v>
      </c>
      <c r="G38" s="475">
        <v>24964</v>
      </c>
      <c r="H38" s="475">
        <v>26234</v>
      </c>
      <c r="I38" s="475">
        <v>25699</v>
      </c>
      <c r="J38" s="475">
        <v>100952</v>
      </c>
      <c r="K38" s="476"/>
      <c r="L38" s="475">
        <v>23487</v>
      </c>
      <c r="M38" s="475">
        <v>25597</v>
      </c>
      <c r="N38" s="475">
        <v>22951</v>
      </c>
      <c r="O38" s="471">
        <v>23536</v>
      </c>
      <c r="P38" s="471">
        <v>95571</v>
      </c>
      <c r="Q38" s="477"/>
      <c r="R38" s="475">
        <v>25767</v>
      </c>
      <c r="S38" s="475">
        <v>25350</v>
      </c>
      <c r="T38" s="475">
        <v>24605</v>
      </c>
      <c r="U38" s="471">
        <v>23822</v>
      </c>
      <c r="V38" s="471">
        <v>99544</v>
      </c>
      <c r="W38" s="477"/>
      <c r="X38" s="475">
        <v>24171</v>
      </c>
      <c r="Y38" s="475">
        <v>22445</v>
      </c>
      <c r="Z38" s="475">
        <v>23937</v>
      </c>
      <c r="AA38" s="471">
        <v>23123</v>
      </c>
      <c r="AB38" s="471">
        <v>93676</v>
      </c>
      <c r="AC38" s="477"/>
      <c r="AD38" s="471">
        <v>21927</v>
      </c>
      <c r="AE38" s="471">
        <v>24871</v>
      </c>
      <c r="AF38" s="471">
        <v>23172</v>
      </c>
      <c r="AG38" s="471">
        <v>22422</v>
      </c>
      <c r="AH38" s="471">
        <v>92392</v>
      </c>
      <c r="AI38" s="477"/>
      <c r="AJ38" s="471">
        <v>20709</v>
      </c>
      <c r="AK38" s="471">
        <v>18114</v>
      </c>
      <c r="AL38" s="471">
        <v>19569</v>
      </c>
      <c r="AM38" s="471">
        <v>21703</v>
      </c>
      <c r="AN38" s="471">
        <v>80095</v>
      </c>
      <c r="AO38" s="477"/>
      <c r="AP38" s="471">
        <v>20292</v>
      </c>
      <c r="AQ38" s="471">
        <v>20481</v>
      </c>
      <c r="AR38" s="471">
        <v>21020</v>
      </c>
      <c r="AS38" s="471">
        <v>21288</v>
      </c>
      <c r="AT38" s="471">
        <v>83081</v>
      </c>
      <c r="AU38" s="211"/>
    </row>
    <row r="39" spans="1:47" s="162" customFormat="1" ht="15" hidden="1" customHeight="1" outlineLevel="1" x14ac:dyDescent="0.2">
      <c r="A39" s="212" t="str">
        <f>IF(Contents!$A$1=2,"Realized average sales prices","Средняя цена реализации")</f>
        <v>Средняя цена реализации</v>
      </c>
      <c r="B39" s="264" t="str">
        <f>IF(Contents!$A$1=2,"RUB/t","руб./т")</f>
        <v>руб./т</v>
      </c>
      <c r="C39" s="169"/>
      <c r="D39" s="478">
        <v>30858</v>
      </c>
      <c r="E39" s="479"/>
      <c r="F39" s="478">
        <v>30045.88</v>
      </c>
      <c r="G39" s="478">
        <v>29764</v>
      </c>
      <c r="H39" s="478">
        <v>29534</v>
      </c>
      <c r="I39" s="478">
        <v>26034</v>
      </c>
      <c r="J39" s="478">
        <v>28822</v>
      </c>
      <c r="K39" s="479"/>
      <c r="L39" s="478">
        <v>23697</v>
      </c>
      <c r="M39" s="478">
        <v>26502</v>
      </c>
      <c r="N39" s="478">
        <v>26656</v>
      </c>
      <c r="O39" s="480">
        <v>28285.215818040837</v>
      </c>
      <c r="P39" s="480">
        <v>26287</v>
      </c>
      <c r="Q39" s="481"/>
      <c r="R39" s="478">
        <v>27723</v>
      </c>
      <c r="S39" s="478">
        <v>25768</v>
      </c>
      <c r="T39" s="478">
        <v>29503</v>
      </c>
      <c r="U39" s="480">
        <v>32318</v>
      </c>
      <c r="V39" s="480">
        <v>28765</v>
      </c>
      <c r="W39" s="481"/>
      <c r="X39" s="478">
        <v>32434</v>
      </c>
      <c r="Y39" s="478">
        <v>39974</v>
      </c>
      <c r="Z39" s="478">
        <v>42422</v>
      </c>
      <c r="AA39" s="480">
        <v>39599</v>
      </c>
      <c r="AB39" s="480">
        <v>38562</v>
      </c>
      <c r="AC39" s="481"/>
      <c r="AD39" s="480">
        <v>37099</v>
      </c>
      <c r="AE39" s="480">
        <v>37751</v>
      </c>
      <c r="AF39" s="480">
        <v>36252</v>
      </c>
      <c r="AG39" s="480">
        <v>36162</v>
      </c>
      <c r="AH39" s="480">
        <v>36834</v>
      </c>
      <c r="AI39" s="481"/>
      <c r="AJ39" s="480">
        <v>31184</v>
      </c>
      <c r="AK39" s="480">
        <v>21187</v>
      </c>
      <c r="AL39" s="480">
        <v>28375</v>
      </c>
      <c r="AM39" s="480">
        <v>30461</v>
      </c>
      <c r="AN39" s="480">
        <v>28041</v>
      </c>
      <c r="AO39" s="481"/>
      <c r="AP39" s="480">
        <v>39196</v>
      </c>
      <c r="AQ39" s="480">
        <v>44055</v>
      </c>
      <c r="AR39" s="480">
        <v>48470</v>
      </c>
      <c r="AS39" s="480">
        <v>53233</v>
      </c>
      <c r="AT39" s="480">
        <v>46337</v>
      </c>
      <c r="AU39" s="211"/>
    </row>
    <row r="40" spans="1:47" s="162" customFormat="1" ht="15" hidden="1" customHeight="1" outlineLevel="1" x14ac:dyDescent="0.2">
      <c r="A40" s="168" t="str">
        <f>IF(Contents!$A$1=2,"Retail refined products","Нефтепродукты в розницу")</f>
        <v>Нефтепродукты в розницу</v>
      </c>
      <c r="B40" s="255" t="str">
        <f>IF(Contents!$A$1=2,"mln RUB","млн руб.")</f>
        <v>млн руб.</v>
      </c>
      <c r="C40" s="169"/>
      <c r="D40" s="428">
        <v>371618</v>
      </c>
      <c r="E40" s="428"/>
      <c r="F40" s="428">
        <v>80032</v>
      </c>
      <c r="G40" s="428">
        <v>74593</v>
      </c>
      <c r="H40" s="428">
        <v>90515</v>
      </c>
      <c r="I40" s="428">
        <v>83581</v>
      </c>
      <c r="J40" s="428">
        <v>328721</v>
      </c>
      <c r="K40" s="428"/>
      <c r="L40" s="427">
        <v>81452</v>
      </c>
      <c r="M40" s="427">
        <v>74011</v>
      </c>
      <c r="N40" s="427">
        <v>77372</v>
      </c>
      <c r="O40" s="419">
        <v>72962</v>
      </c>
      <c r="P40" s="419">
        <v>305797</v>
      </c>
      <c r="Q40" s="431"/>
      <c r="R40" s="427">
        <v>62707</v>
      </c>
      <c r="S40" s="427">
        <v>66393</v>
      </c>
      <c r="T40" s="427">
        <v>76253</v>
      </c>
      <c r="U40" s="419">
        <v>75494</v>
      </c>
      <c r="V40" s="419">
        <v>280847</v>
      </c>
      <c r="W40" s="431"/>
      <c r="X40" s="427">
        <v>71998</v>
      </c>
      <c r="Y40" s="427">
        <v>86802</v>
      </c>
      <c r="Z40" s="427">
        <v>97256</v>
      </c>
      <c r="AA40" s="419">
        <v>93437</v>
      </c>
      <c r="AB40" s="419">
        <v>349493</v>
      </c>
      <c r="AC40" s="431"/>
      <c r="AD40" s="419">
        <v>82134</v>
      </c>
      <c r="AE40" s="419">
        <v>88262</v>
      </c>
      <c r="AF40" s="419">
        <v>90417</v>
      </c>
      <c r="AG40" s="419">
        <v>84349</v>
      </c>
      <c r="AH40" s="419">
        <v>345162</v>
      </c>
      <c r="AI40" s="431"/>
      <c r="AJ40" s="419">
        <v>74488</v>
      </c>
      <c r="AK40" s="419">
        <v>60567</v>
      </c>
      <c r="AL40" s="419">
        <v>85153</v>
      </c>
      <c r="AM40" s="419">
        <v>82813</v>
      </c>
      <c r="AN40" s="419">
        <v>303021</v>
      </c>
      <c r="AO40" s="431"/>
      <c r="AP40" s="419">
        <v>87111</v>
      </c>
      <c r="AQ40" s="419">
        <v>100028</v>
      </c>
      <c r="AR40" s="419">
        <v>114436</v>
      </c>
      <c r="AS40" s="419">
        <v>110394</v>
      </c>
      <c r="AT40" s="419">
        <v>411969</v>
      </c>
      <c r="AU40" s="211"/>
    </row>
    <row r="41" spans="1:47" s="162" customFormat="1" ht="15" hidden="1" customHeight="1" outlineLevel="1" x14ac:dyDescent="0.2">
      <c r="A41" s="321" t="str">
        <f>IF(Contents!$A$1=2,"Sales volumes","Объем продаж")</f>
        <v>Объем продаж</v>
      </c>
      <c r="B41" s="322" t="str">
        <f>IF(Contents!$A$1=2,"th. t","тыс. т")</f>
        <v>тыс. т</v>
      </c>
      <c r="C41" s="323"/>
      <c r="D41" s="475">
        <v>5772</v>
      </c>
      <c r="E41" s="476"/>
      <c r="F41" s="475">
        <v>1056</v>
      </c>
      <c r="G41" s="475">
        <v>1119</v>
      </c>
      <c r="H41" s="475">
        <v>1183</v>
      </c>
      <c r="I41" s="475">
        <v>1143</v>
      </c>
      <c r="J41" s="475">
        <v>4501</v>
      </c>
      <c r="K41" s="476"/>
      <c r="L41" s="475">
        <v>1093</v>
      </c>
      <c r="M41" s="475">
        <v>1034</v>
      </c>
      <c r="N41" s="475">
        <v>1102</v>
      </c>
      <c r="O41" s="471">
        <v>1064</v>
      </c>
      <c r="P41" s="471">
        <v>4293</v>
      </c>
      <c r="Q41" s="477"/>
      <c r="R41" s="475">
        <v>957</v>
      </c>
      <c r="S41" s="475">
        <v>1042</v>
      </c>
      <c r="T41" s="475">
        <v>1104</v>
      </c>
      <c r="U41" s="471">
        <v>1052</v>
      </c>
      <c r="V41" s="471">
        <v>4155</v>
      </c>
      <c r="W41" s="477"/>
      <c r="X41" s="475">
        <v>974</v>
      </c>
      <c r="Y41" s="475">
        <v>1052</v>
      </c>
      <c r="Z41" s="475">
        <v>1114</v>
      </c>
      <c r="AA41" s="471">
        <v>1077</v>
      </c>
      <c r="AB41" s="471">
        <v>4217</v>
      </c>
      <c r="AC41" s="477"/>
      <c r="AD41" s="471">
        <v>988</v>
      </c>
      <c r="AE41" s="471">
        <v>1054</v>
      </c>
      <c r="AF41" s="471">
        <v>1106</v>
      </c>
      <c r="AG41" s="471">
        <v>1046</v>
      </c>
      <c r="AH41" s="471">
        <v>4194</v>
      </c>
      <c r="AI41" s="477"/>
      <c r="AJ41" s="471">
        <v>926</v>
      </c>
      <c r="AK41" s="471">
        <v>802</v>
      </c>
      <c r="AL41" s="471">
        <v>1006</v>
      </c>
      <c r="AM41" s="471">
        <v>933</v>
      </c>
      <c r="AN41" s="471">
        <v>3667</v>
      </c>
      <c r="AO41" s="477"/>
      <c r="AP41" s="471">
        <v>898</v>
      </c>
      <c r="AQ41" s="471">
        <v>987</v>
      </c>
      <c r="AR41" s="471">
        <v>1101</v>
      </c>
      <c r="AS41" s="471">
        <v>1030</v>
      </c>
      <c r="AT41" s="471">
        <v>4016</v>
      </c>
      <c r="AU41" s="211"/>
    </row>
    <row r="42" spans="1:47" s="162" customFormat="1" ht="15" hidden="1" customHeight="1" outlineLevel="1" x14ac:dyDescent="0.2">
      <c r="A42" s="212" t="str">
        <f>IF(Contents!$A$1=2,"Realized average sales prices","Средняя цена реализации")</f>
        <v>Средняя цена реализации</v>
      </c>
      <c r="B42" s="264" t="str">
        <f>IF(Contents!$A$1=2,"RUB/t","руб./т")</f>
        <v>руб./т</v>
      </c>
      <c r="C42" s="169"/>
      <c r="D42" s="478">
        <v>64384</v>
      </c>
      <c r="E42" s="479"/>
      <c r="F42" s="478">
        <v>75787.88</v>
      </c>
      <c r="G42" s="478">
        <v>66660</v>
      </c>
      <c r="H42" s="478">
        <v>76513</v>
      </c>
      <c r="I42" s="478">
        <v>73124</v>
      </c>
      <c r="J42" s="478">
        <v>73031</v>
      </c>
      <c r="K42" s="479"/>
      <c r="L42" s="478">
        <v>74555</v>
      </c>
      <c r="M42" s="478">
        <v>71543</v>
      </c>
      <c r="N42" s="478">
        <v>70211</v>
      </c>
      <c r="O42" s="480">
        <v>69750.988142292481</v>
      </c>
      <c r="P42" s="480">
        <v>71232</v>
      </c>
      <c r="Q42" s="481"/>
      <c r="R42" s="478">
        <v>65524</v>
      </c>
      <c r="S42" s="478">
        <v>63717</v>
      </c>
      <c r="T42" s="478">
        <v>69070</v>
      </c>
      <c r="U42" s="480">
        <v>71762</v>
      </c>
      <c r="V42" s="480">
        <v>67593</v>
      </c>
      <c r="W42" s="481"/>
      <c r="X42" s="478">
        <v>73920</v>
      </c>
      <c r="Y42" s="478">
        <v>82511</v>
      </c>
      <c r="Z42" s="478">
        <v>87303</v>
      </c>
      <c r="AA42" s="480">
        <v>86757</v>
      </c>
      <c r="AB42" s="480">
        <v>82877</v>
      </c>
      <c r="AC42" s="481"/>
      <c r="AD42" s="480">
        <v>83132</v>
      </c>
      <c r="AE42" s="480">
        <v>83740</v>
      </c>
      <c r="AF42" s="480">
        <v>81751</v>
      </c>
      <c r="AG42" s="480">
        <v>80640</v>
      </c>
      <c r="AH42" s="480">
        <v>82299</v>
      </c>
      <c r="AI42" s="481"/>
      <c r="AJ42" s="480">
        <v>80441</v>
      </c>
      <c r="AK42" s="480">
        <v>75520</v>
      </c>
      <c r="AL42" s="480">
        <v>84645</v>
      </c>
      <c r="AM42" s="480">
        <v>88760</v>
      </c>
      <c r="AN42" s="480">
        <v>82635</v>
      </c>
      <c r="AO42" s="481"/>
      <c r="AP42" s="480">
        <v>97006</v>
      </c>
      <c r="AQ42" s="480">
        <v>101345</v>
      </c>
      <c r="AR42" s="480">
        <v>103938</v>
      </c>
      <c r="AS42" s="480">
        <v>107179</v>
      </c>
      <c r="AT42" s="480">
        <v>102582</v>
      </c>
      <c r="AU42" s="211"/>
    </row>
    <row r="43" spans="1:47" s="162" customFormat="1" ht="15" hidden="1" customHeight="1" outlineLevel="1" x14ac:dyDescent="0.2">
      <c r="A43" s="168" t="str">
        <f>IF(Contents!$A$1=2,"Petrochemicals","Продукты нефтехимии")</f>
        <v>Продукты нефтехимии</v>
      </c>
      <c r="B43" s="255" t="str">
        <f>IF(Contents!$A$1=2,"mln RUB","млн руб.")</f>
        <v>млн руб.</v>
      </c>
      <c r="C43" s="169"/>
      <c r="D43" s="428">
        <v>32231</v>
      </c>
      <c r="E43" s="428"/>
      <c r="F43" s="428">
        <v>8214</v>
      </c>
      <c r="G43" s="428">
        <v>8875</v>
      </c>
      <c r="H43" s="428">
        <v>10782</v>
      </c>
      <c r="I43" s="428">
        <v>6619</v>
      </c>
      <c r="J43" s="428">
        <v>34490</v>
      </c>
      <c r="K43" s="428"/>
      <c r="L43" s="427">
        <v>10158</v>
      </c>
      <c r="M43" s="427">
        <v>8804</v>
      </c>
      <c r="N43" s="427">
        <v>7915</v>
      </c>
      <c r="O43" s="419">
        <v>7834</v>
      </c>
      <c r="P43" s="419">
        <v>34711</v>
      </c>
      <c r="Q43" s="431"/>
      <c r="R43" s="427">
        <v>12126</v>
      </c>
      <c r="S43" s="427">
        <v>13336</v>
      </c>
      <c r="T43" s="427">
        <v>10345</v>
      </c>
      <c r="U43" s="419">
        <v>12380</v>
      </c>
      <c r="V43" s="419">
        <v>48187</v>
      </c>
      <c r="W43" s="431"/>
      <c r="X43" s="427">
        <v>15554</v>
      </c>
      <c r="Y43" s="427">
        <v>15068</v>
      </c>
      <c r="Z43" s="427">
        <v>15731</v>
      </c>
      <c r="AA43" s="419">
        <v>21329</v>
      </c>
      <c r="AB43" s="419">
        <v>67682</v>
      </c>
      <c r="AC43" s="431"/>
      <c r="AD43" s="419">
        <v>31379</v>
      </c>
      <c r="AE43" s="419">
        <v>24530</v>
      </c>
      <c r="AF43" s="419">
        <v>20863</v>
      </c>
      <c r="AG43" s="419">
        <v>14915</v>
      </c>
      <c r="AH43" s="419">
        <v>91687</v>
      </c>
      <c r="AI43" s="431"/>
      <c r="AJ43" s="419">
        <v>15791</v>
      </c>
      <c r="AK43" s="419">
        <v>13080</v>
      </c>
      <c r="AL43" s="419">
        <v>13244</v>
      </c>
      <c r="AM43" s="419">
        <v>14921</v>
      </c>
      <c r="AN43" s="419">
        <v>57036</v>
      </c>
      <c r="AO43" s="431"/>
      <c r="AP43" s="419">
        <v>24429</v>
      </c>
      <c r="AQ43" s="419">
        <v>29938</v>
      </c>
      <c r="AR43" s="419">
        <v>28127</v>
      </c>
      <c r="AS43" s="419">
        <v>18997</v>
      </c>
      <c r="AT43" s="419">
        <v>101491</v>
      </c>
      <c r="AU43" s="211"/>
    </row>
    <row r="44" spans="1:47" s="162" customFormat="1" ht="15" hidden="1" customHeight="1" outlineLevel="1" x14ac:dyDescent="0.2">
      <c r="A44" s="321" t="str">
        <f>IF(Contents!$A$1=2,"Sales volumes","Объем продаж")</f>
        <v>Объем продаж</v>
      </c>
      <c r="B44" s="322" t="str">
        <f>IF(Contents!$A$1=2,"th. t","тыс. т")</f>
        <v>тыс. т</v>
      </c>
      <c r="C44" s="323"/>
      <c r="D44" s="475">
        <v>593</v>
      </c>
      <c r="E44" s="476"/>
      <c r="F44" s="475">
        <v>148</v>
      </c>
      <c r="G44" s="475">
        <v>168</v>
      </c>
      <c r="H44" s="475">
        <v>212</v>
      </c>
      <c r="I44" s="475">
        <v>129</v>
      </c>
      <c r="J44" s="475">
        <v>657</v>
      </c>
      <c r="K44" s="476"/>
      <c r="L44" s="475">
        <v>247</v>
      </c>
      <c r="M44" s="475">
        <v>171</v>
      </c>
      <c r="N44" s="475">
        <v>158</v>
      </c>
      <c r="O44" s="471">
        <v>171</v>
      </c>
      <c r="P44" s="471">
        <v>747</v>
      </c>
      <c r="Q44" s="477"/>
      <c r="R44" s="475">
        <v>232</v>
      </c>
      <c r="S44" s="475">
        <v>252</v>
      </c>
      <c r="T44" s="475">
        <v>213</v>
      </c>
      <c r="U44" s="471">
        <v>252</v>
      </c>
      <c r="V44" s="471">
        <v>949</v>
      </c>
      <c r="W44" s="477"/>
      <c r="X44" s="475">
        <v>261</v>
      </c>
      <c r="Y44" s="475">
        <v>234</v>
      </c>
      <c r="Z44" s="475">
        <v>217</v>
      </c>
      <c r="AA44" s="471">
        <v>292</v>
      </c>
      <c r="AB44" s="471">
        <v>1004</v>
      </c>
      <c r="AC44" s="477"/>
      <c r="AD44" s="471">
        <v>484</v>
      </c>
      <c r="AE44" s="471">
        <v>403</v>
      </c>
      <c r="AF44" s="471">
        <v>384</v>
      </c>
      <c r="AG44" s="471">
        <v>276</v>
      </c>
      <c r="AH44" s="471">
        <v>1547</v>
      </c>
      <c r="AI44" s="477"/>
      <c r="AJ44" s="471">
        <v>310</v>
      </c>
      <c r="AK44" s="471">
        <v>380</v>
      </c>
      <c r="AL44" s="471">
        <v>295</v>
      </c>
      <c r="AM44" s="471">
        <v>284</v>
      </c>
      <c r="AN44" s="471">
        <v>1269</v>
      </c>
      <c r="AO44" s="477"/>
      <c r="AP44" s="471">
        <v>335</v>
      </c>
      <c r="AQ44" s="471">
        <v>341</v>
      </c>
      <c r="AR44" s="471">
        <v>335</v>
      </c>
      <c r="AS44" s="471">
        <v>200</v>
      </c>
      <c r="AT44" s="471">
        <v>1211</v>
      </c>
      <c r="AU44" s="211"/>
    </row>
    <row r="45" spans="1:47" s="162" customFormat="1" ht="15" hidden="1" customHeight="1" outlineLevel="1" x14ac:dyDescent="0.2">
      <c r="A45" s="212" t="str">
        <f>IF(Contents!$A$1=2,"Realized average sales prices","Средняя цена реализации")</f>
        <v>Средняя цена реализации</v>
      </c>
      <c r="B45" s="264" t="str">
        <f>IF(Contents!$A$1=2,"RUB/t","руб./т")</f>
        <v>руб./т</v>
      </c>
      <c r="C45" s="169"/>
      <c r="D45" s="478">
        <v>54377</v>
      </c>
      <c r="E45" s="479"/>
      <c r="F45" s="478">
        <v>55556.022255738775</v>
      </c>
      <c r="G45" s="478">
        <v>52881.045666527607</v>
      </c>
      <c r="H45" s="478">
        <v>50781.415990919937</v>
      </c>
      <c r="I45" s="478">
        <v>51309.784499825641</v>
      </c>
      <c r="J45" s="478">
        <v>52496</v>
      </c>
      <c r="K45" s="479"/>
      <c r="L45" s="478">
        <v>41126</v>
      </c>
      <c r="M45" s="478">
        <v>51485</v>
      </c>
      <c r="N45" s="478">
        <v>50094.936708860754</v>
      </c>
      <c r="O45" s="478">
        <v>45812.865497076025</v>
      </c>
      <c r="P45" s="478">
        <v>46467</v>
      </c>
      <c r="Q45" s="479"/>
      <c r="R45" s="478">
        <v>52267</v>
      </c>
      <c r="S45" s="478">
        <v>52921</v>
      </c>
      <c r="T45" s="478">
        <v>48568</v>
      </c>
      <c r="U45" s="478">
        <v>49127</v>
      </c>
      <c r="V45" s="478">
        <v>50777</v>
      </c>
      <c r="W45" s="479"/>
      <c r="X45" s="478">
        <v>59594</v>
      </c>
      <c r="Y45" s="478">
        <v>64393</v>
      </c>
      <c r="Z45" s="478">
        <v>72493</v>
      </c>
      <c r="AA45" s="478">
        <v>73045</v>
      </c>
      <c r="AB45" s="478">
        <v>67412</v>
      </c>
      <c r="AC45" s="479"/>
      <c r="AD45" s="478">
        <v>64833</v>
      </c>
      <c r="AE45" s="478">
        <v>60868</v>
      </c>
      <c r="AF45" s="478">
        <v>54331</v>
      </c>
      <c r="AG45" s="478">
        <v>54040</v>
      </c>
      <c r="AH45" s="478">
        <v>59268</v>
      </c>
      <c r="AI45" s="479"/>
      <c r="AJ45" s="478">
        <v>50939</v>
      </c>
      <c r="AK45" s="478">
        <v>34421</v>
      </c>
      <c r="AL45" s="478">
        <v>44895</v>
      </c>
      <c r="AM45" s="478">
        <v>52539</v>
      </c>
      <c r="AN45" s="478">
        <v>44946</v>
      </c>
      <c r="AO45" s="479"/>
      <c r="AP45" s="478">
        <v>72922</v>
      </c>
      <c r="AQ45" s="478">
        <v>87795</v>
      </c>
      <c r="AR45" s="478">
        <v>83961</v>
      </c>
      <c r="AS45" s="478">
        <v>94985</v>
      </c>
      <c r="AT45" s="478">
        <v>83808</v>
      </c>
      <c r="AU45" s="211"/>
    </row>
    <row r="46" spans="1:47" s="162" customFormat="1" ht="15" hidden="1" customHeight="1" outlineLevel="1" x14ac:dyDescent="0.2">
      <c r="A46" s="168" t="str">
        <f>IF(Contents!$A$1=2,"Gas (in 2014-2015 including gas products)","Газ (в 2014-2015 гг. включая газопродукты)")</f>
        <v>Газ (в 2014-2015 гг. включая газопродукты)</v>
      </c>
      <c r="B46" s="255" t="str">
        <f>IF(Contents!$A$1=2,"mln RUB","млн руб.")</f>
        <v>млн руб.</v>
      </c>
      <c r="C46" s="169"/>
      <c r="D46" s="427">
        <v>83025</v>
      </c>
      <c r="E46" s="428"/>
      <c r="F46" s="427">
        <v>27672</v>
      </c>
      <c r="G46" s="427">
        <v>21187</v>
      </c>
      <c r="H46" s="427">
        <v>23691</v>
      </c>
      <c r="I46" s="427">
        <v>27547</v>
      </c>
      <c r="J46" s="427">
        <v>100097</v>
      </c>
      <c r="K46" s="428"/>
      <c r="L46" s="427">
        <v>11259</v>
      </c>
      <c r="M46" s="427">
        <v>8256</v>
      </c>
      <c r="N46" s="427">
        <v>6929</v>
      </c>
      <c r="O46" s="419">
        <v>7219</v>
      </c>
      <c r="P46" s="419">
        <v>33663</v>
      </c>
      <c r="Q46" s="431"/>
      <c r="R46" s="427">
        <v>9598</v>
      </c>
      <c r="S46" s="427">
        <v>12583</v>
      </c>
      <c r="T46" s="427">
        <v>14468</v>
      </c>
      <c r="U46" s="419">
        <v>17962</v>
      </c>
      <c r="V46" s="419">
        <v>54611</v>
      </c>
      <c r="W46" s="431"/>
      <c r="X46" s="427">
        <v>19980</v>
      </c>
      <c r="Y46" s="427">
        <v>26266</v>
      </c>
      <c r="Z46" s="427">
        <v>36267</v>
      </c>
      <c r="AA46" s="419">
        <v>30477</v>
      </c>
      <c r="AB46" s="419">
        <v>112990</v>
      </c>
      <c r="AC46" s="431"/>
      <c r="AD46" s="419">
        <v>38229</v>
      </c>
      <c r="AE46" s="419">
        <v>30985</v>
      </c>
      <c r="AF46" s="419">
        <v>32790</v>
      </c>
      <c r="AG46" s="419">
        <v>36993</v>
      </c>
      <c r="AH46" s="419">
        <v>138997</v>
      </c>
      <c r="AI46" s="431"/>
      <c r="AJ46" s="419">
        <v>25037</v>
      </c>
      <c r="AK46" s="419">
        <v>4910</v>
      </c>
      <c r="AL46" s="419">
        <v>7973</v>
      </c>
      <c r="AM46" s="419">
        <v>30280</v>
      </c>
      <c r="AN46" s="419">
        <v>68200</v>
      </c>
      <c r="AO46" s="431"/>
      <c r="AP46" s="419">
        <v>28158</v>
      </c>
      <c r="AQ46" s="419">
        <v>27738</v>
      </c>
      <c r="AR46" s="419">
        <v>40755</v>
      </c>
      <c r="AS46" s="419">
        <v>46041</v>
      </c>
      <c r="AT46" s="419">
        <v>142692</v>
      </c>
      <c r="AU46" s="211"/>
    </row>
    <row r="47" spans="1:47" s="162" customFormat="1" ht="15" hidden="1" customHeight="1" outlineLevel="1" x14ac:dyDescent="0.2">
      <c r="A47" s="321" t="str">
        <f>IF(Contents!$A$1=2,"Sales volumes","Объем продаж")</f>
        <v>Объем продаж</v>
      </c>
      <c r="B47" s="322" t="str">
        <f>IF(Contents!$A$1=2,"mln m³","млн м³")</f>
        <v>млн м³</v>
      </c>
      <c r="C47" s="169"/>
      <c r="D47" s="427">
        <v>0</v>
      </c>
      <c r="E47" s="428"/>
      <c r="F47" s="427">
        <v>0</v>
      </c>
      <c r="G47" s="427">
        <v>0</v>
      </c>
      <c r="H47" s="427">
        <v>0</v>
      </c>
      <c r="I47" s="427">
        <v>0</v>
      </c>
      <c r="J47" s="427">
        <v>0</v>
      </c>
      <c r="K47" s="428"/>
      <c r="L47" s="427">
        <v>0</v>
      </c>
      <c r="M47" s="427">
        <v>0</v>
      </c>
      <c r="N47" s="427">
        <v>0</v>
      </c>
      <c r="O47" s="427">
        <v>0</v>
      </c>
      <c r="P47" s="427">
        <v>0</v>
      </c>
      <c r="Q47" s="431"/>
      <c r="R47" s="471">
        <v>1755</v>
      </c>
      <c r="S47" s="471">
        <v>1944</v>
      </c>
      <c r="T47" s="471">
        <v>2338</v>
      </c>
      <c r="U47" s="471">
        <v>3049</v>
      </c>
      <c r="V47" s="471">
        <v>9086</v>
      </c>
      <c r="W47" s="431"/>
      <c r="X47" s="475">
        <v>3138</v>
      </c>
      <c r="Y47" s="475">
        <v>3309</v>
      </c>
      <c r="Z47" s="475">
        <v>3674</v>
      </c>
      <c r="AA47" s="475">
        <v>4052</v>
      </c>
      <c r="AB47" s="475">
        <v>14173</v>
      </c>
      <c r="AC47" s="431"/>
      <c r="AD47" s="475">
        <v>4142</v>
      </c>
      <c r="AE47" s="475">
        <v>3538</v>
      </c>
      <c r="AF47" s="475">
        <v>3717</v>
      </c>
      <c r="AG47" s="475">
        <v>4388</v>
      </c>
      <c r="AH47" s="475">
        <v>15785</v>
      </c>
      <c r="AI47" s="476"/>
      <c r="AJ47" s="475">
        <v>3424</v>
      </c>
      <c r="AK47" s="475">
        <v>2025</v>
      </c>
      <c r="AL47" s="475">
        <v>1616</v>
      </c>
      <c r="AM47" s="475">
        <v>4223</v>
      </c>
      <c r="AN47" s="475">
        <v>11288</v>
      </c>
      <c r="AO47" s="476"/>
      <c r="AP47" s="475">
        <v>4661</v>
      </c>
      <c r="AQ47" s="475">
        <v>3320</v>
      </c>
      <c r="AR47" s="475">
        <v>3928</v>
      </c>
      <c r="AS47" s="475">
        <v>4489</v>
      </c>
      <c r="AT47" s="475">
        <v>16398</v>
      </c>
      <c r="AU47" s="211"/>
    </row>
    <row r="48" spans="1:47" s="162" customFormat="1" ht="15" hidden="1" customHeight="1" outlineLevel="1" x14ac:dyDescent="0.2">
      <c r="A48" s="212" t="str">
        <f>IF(Contents!$A$1=2,"Realized average sales prices","Средняя цена реализации")</f>
        <v>Средняя цена реализации</v>
      </c>
      <c r="B48" s="264" t="str">
        <f>IF(Contents!$A$1=2,"RUB/th. m³","руб./тыс м³")</f>
        <v>руб./тыс м³</v>
      </c>
      <c r="C48" s="169"/>
      <c r="D48" s="427">
        <v>0</v>
      </c>
      <c r="E48" s="428"/>
      <c r="F48" s="427">
        <v>0</v>
      </c>
      <c r="G48" s="427">
        <v>0</v>
      </c>
      <c r="H48" s="427">
        <v>0</v>
      </c>
      <c r="I48" s="427">
        <v>0</v>
      </c>
      <c r="J48" s="427">
        <v>0</v>
      </c>
      <c r="K48" s="428"/>
      <c r="L48" s="427">
        <v>0</v>
      </c>
      <c r="M48" s="427">
        <v>0</v>
      </c>
      <c r="N48" s="427">
        <v>0</v>
      </c>
      <c r="O48" s="427">
        <v>0</v>
      </c>
      <c r="P48" s="427">
        <v>0</v>
      </c>
      <c r="Q48" s="431"/>
      <c r="R48" s="478">
        <v>5469</v>
      </c>
      <c r="S48" s="478">
        <v>6472.7366255144034</v>
      </c>
      <c r="T48" s="478">
        <v>6188.1950384944403</v>
      </c>
      <c r="U48" s="478">
        <v>5891</v>
      </c>
      <c r="V48" s="478">
        <v>6010</v>
      </c>
      <c r="W48" s="431"/>
      <c r="X48" s="478">
        <v>6367</v>
      </c>
      <c r="Y48" s="478">
        <v>7938</v>
      </c>
      <c r="Z48" s="478">
        <v>9871</v>
      </c>
      <c r="AA48" s="478">
        <v>7521</v>
      </c>
      <c r="AB48" s="478">
        <v>7972</v>
      </c>
      <c r="AC48" s="431"/>
      <c r="AD48" s="478">
        <v>9230</v>
      </c>
      <c r="AE48" s="478">
        <v>8758</v>
      </c>
      <c r="AF48" s="478">
        <v>8822</v>
      </c>
      <c r="AG48" s="478">
        <v>8430</v>
      </c>
      <c r="AH48" s="478">
        <v>8806</v>
      </c>
      <c r="AI48" s="479"/>
      <c r="AJ48" s="478">
        <v>7312</v>
      </c>
      <c r="AK48" s="478">
        <v>2425</v>
      </c>
      <c r="AL48" s="478">
        <v>4934</v>
      </c>
      <c r="AM48" s="478">
        <v>7170</v>
      </c>
      <c r="AN48" s="478">
        <v>6042</v>
      </c>
      <c r="AO48" s="479"/>
      <c r="AP48" s="478">
        <v>6041</v>
      </c>
      <c r="AQ48" s="478">
        <v>8355</v>
      </c>
      <c r="AR48" s="478">
        <v>10376</v>
      </c>
      <c r="AS48" s="478">
        <v>10256</v>
      </c>
      <c r="AT48" s="478">
        <v>8702</v>
      </c>
      <c r="AU48" s="211"/>
    </row>
    <row r="49" spans="1:47" s="162" customFormat="1" ht="15" hidden="1" customHeight="1" outlineLevel="1" x14ac:dyDescent="0.2">
      <c r="A49" s="168" t="str">
        <f>IF(Contents!$A$1=2,"Sales of energy and related services","Энергия и сопутствующие услуги")</f>
        <v>Энергия и сопутствующие услуги</v>
      </c>
      <c r="B49" s="255" t="str">
        <f>IF(Contents!$A$1=2,"mln RUB","млн руб.")</f>
        <v>млн руб.</v>
      </c>
      <c r="C49" s="169"/>
      <c r="D49" s="427">
        <v>7583</v>
      </c>
      <c r="E49" s="428"/>
      <c r="F49" s="427">
        <v>2490</v>
      </c>
      <c r="G49" s="427">
        <v>1719</v>
      </c>
      <c r="H49" s="427">
        <v>4294</v>
      </c>
      <c r="I49" s="427">
        <v>4013</v>
      </c>
      <c r="J49" s="427">
        <v>12516</v>
      </c>
      <c r="K49" s="428"/>
      <c r="L49" s="427">
        <v>3728</v>
      </c>
      <c r="M49" s="427">
        <v>2797</v>
      </c>
      <c r="N49" s="427">
        <v>3859</v>
      </c>
      <c r="O49" s="419">
        <v>3794</v>
      </c>
      <c r="P49" s="419">
        <v>14178</v>
      </c>
      <c r="Q49" s="431"/>
      <c r="R49" s="427">
        <v>3387</v>
      </c>
      <c r="S49" s="427">
        <v>2204</v>
      </c>
      <c r="T49" s="427">
        <v>3558</v>
      </c>
      <c r="U49" s="419">
        <v>3735</v>
      </c>
      <c r="V49" s="419">
        <v>12884</v>
      </c>
      <c r="W49" s="431"/>
      <c r="X49" s="427">
        <v>2622</v>
      </c>
      <c r="Y49" s="427">
        <v>3413</v>
      </c>
      <c r="Z49" s="427">
        <v>5743</v>
      </c>
      <c r="AA49" s="427">
        <v>3822</v>
      </c>
      <c r="AB49" s="427">
        <v>15600</v>
      </c>
      <c r="AC49" s="431"/>
      <c r="AD49" s="427">
        <v>4076</v>
      </c>
      <c r="AE49" s="427">
        <v>3125</v>
      </c>
      <c r="AF49" s="427">
        <v>4451</v>
      </c>
      <c r="AG49" s="427">
        <v>2952</v>
      </c>
      <c r="AH49" s="427">
        <v>14604</v>
      </c>
      <c r="AI49" s="428"/>
      <c r="AJ49" s="427">
        <v>2748</v>
      </c>
      <c r="AK49" s="427">
        <v>1984</v>
      </c>
      <c r="AL49" s="427">
        <v>3796</v>
      </c>
      <c r="AM49" s="427">
        <v>1923</v>
      </c>
      <c r="AN49" s="427">
        <v>10451</v>
      </c>
      <c r="AO49" s="428"/>
      <c r="AP49" s="427">
        <v>2061</v>
      </c>
      <c r="AQ49" s="427">
        <v>1702</v>
      </c>
      <c r="AR49" s="427">
        <v>4353</v>
      </c>
      <c r="AS49" s="427">
        <v>6200</v>
      </c>
      <c r="AT49" s="427">
        <v>14316</v>
      </c>
      <c r="AU49" s="211"/>
    </row>
    <row r="50" spans="1:47" s="162" customFormat="1" ht="15" hidden="1" customHeight="1" outlineLevel="1" x14ac:dyDescent="0.2">
      <c r="A50" s="168" t="str">
        <f>IF(Contents!$A$1=2,"Other","Прочее")</f>
        <v>Прочее</v>
      </c>
      <c r="B50" s="255" t="str">
        <f>IF(Contents!$A$1=2,"mln RUB","млн руб.")</f>
        <v>млн руб.</v>
      </c>
      <c r="C50" s="169"/>
      <c r="D50" s="427">
        <v>38662</v>
      </c>
      <c r="E50" s="428"/>
      <c r="F50" s="427">
        <v>11430</v>
      </c>
      <c r="G50" s="427">
        <v>12552</v>
      </c>
      <c r="H50" s="427">
        <v>16092</v>
      </c>
      <c r="I50" s="427">
        <v>17356</v>
      </c>
      <c r="J50" s="427">
        <v>57430</v>
      </c>
      <c r="K50" s="428"/>
      <c r="L50" s="427">
        <v>22757</v>
      </c>
      <c r="M50" s="427">
        <v>14545</v>
      </c>
      <c r="N50" s="427">
        <v>16059</v>
      </c>
      <c r="O50" s="419">
        <v>16520</v>
      </c>
      <c r="P50" s="419">
        <v>69881</v>
      </c>
      <c r="Q50" s="431"/>
      <c r="R50" s="427">
        <v>14630</v>
      </c>
      <c r="S50" s="427">
        <v>11085</v>
      </c>
      <c r="T50" s="427">
        <v>12381</v>
      </c>
      <c r="U50" s="419">
        <v>11621</v>
      </c>
      <c r="V50" s="419">
        <v>49717</v>
      </c>
      <c r="W50" s="431"/>
      <c r="X50" s="427">
        <v>9894</v>
      </c>
      <c r="Y50" s="427">
        <v>11893</v>
      </c>
      <c r="Z50" s="427">
        <v>13125</v>
      </c>
      <c r="AA50" s="419">
        <v>11248</v>
      </c>
      <c r="AB50" s="419">
        <v>46160</v>
      </c>
      <c r="AC50" s="431"/>
      <c r="AD50" s="419">
        <v>10185</v>
      </c>
      <c r="AE50" s="419">
        <v>10032</v>
      </c>
      <c r="AF50" s="419">
        <v>14908</v>
      </c>
      <c r="AG50" s="419">
        <v>12899</v>
      </c>
      <c r="AH50" s="419">
        <v>48024</v>
      </c>
      <c r="AI50" s="431"/>
      <c r="AJ50" s="419">
        <v>12275</v>
      </c>
      <c r="AK50" s="419">
        <v>14874</v>
      </c>
      <c r="AL50" s="419">
        <v>22741</v>
      </c>
      <c r="AM50" s="419">
        <v>13923</v>
      </c>
      <c r="AN50" s="419">
        <v>63813</v>
      </c>
      <c r="AO50" s="431"/>
      <c r="AP50" s="419">
        <v>15541</v>
      </c>
      <c r="AQ50" s="419">
        <v>16226</v>
      </c>
      <c r="AR50" s="419">
        <v>14292</v>
      </c>
      <c r="AS50" s="419">
        <v>15316</v>
      </c>
      <c r="AT50" s="419">
        <v>61375</v>
      </c>
      <c r="AU50" s="211"/>
    </row>
    <row r="51" spans="1:47" s="110" customFormat="1" ht="15" customHeight="1" x14ac:dyDescent="0.2">
      <c r="A51" s="111" t="str">
        <f>IF(Contents!$A$1=2,"Costs and other deductions","Затраты и прочие расходы")</f>
        <v>Затраты и прочие расходы</v>
      </c>
      <c r="B51" s="261"/>
      <c r="C51" s="112"/>
      <c r="D51" s="473"/>
      <c r="E51" s="467"/>
      <c r="F51" s="473"/>
      <c r="G51" s="473"/>
      <c r="H51" s="473"/>
      <c r="I51" s="473"/>
      <c r="J51" s="473"/>
      <c r="K51" s="467"/>
      <c r="L51" s="473"/>
      <c r="M51" s="473"/>
      <c r="N51" s="473"/>
      <c r="O51" s="473"/>
      <c r="P51" s="473"/>
      <c r="Q51" s="467"/>
      <c r="R51" s="473"/>
      <c r="S51" s="473"/>
      <c r="T51" s="473"/>
      <c r="U51" s="473"/>
      <c r="V51" s="473"/>
      <c r="W51" s="467"/>
      <c r="X51" s="473"/>
      <c r="Y51" s="473"/>
      <c r="Z51" s="473"/>
      <c r="AA51" s="473"/>
      <c r="AB51" s="473"/>
      <c r="AC51" s="467"/>
      <c r="AD51" s="473"/>
      <c r="AE51" s="473"/>
      <c r="AF51" s="473"/>
      <c r="AG51" s="473"/>
      <c r="AH51" s="473"/>
      <c r="AI51" s="467"/>
      <c r="AJ51" s="473"/>
      <c r="AK51" s="473"/>
      <c r="AL51" s="473"/>
      <c r="AM51" s="473"/>
      <c r="AN51" s="473"/>
      <c r="AO51" s="467"/>
      <c r="AP51" s="473"/>
      <c r="AQ51" s="473"/>
      <c r="AR51" s="473"/>
      <c r="AS51" s="473"/>
      <c r="AT51" s="473"/>
    </row>
    <row r="52" spans="1:47" ht="15" customHeight="1" collapsed="1" x14ac:dyDescent="0.2">
      <c r="A52" s="100" t="str">
        <f>IF(Contents!$A$1=2,"Operating expenses","Операционные расходы")</f>
        <v>Операционные расходы</v>
      </c>
      <c r="B52" s="250" t="str">
        <f>IF(Contents!$A$1=2,"mln RUB","млн руб.")</f>
        <v>млн руб.</v>
      </c>
      <c r="C52" s="82"/>
      <c r="D52" s="474">
        <v>-368505</v>
      </c>
      <c r="E52" s="470"/>
      <c r="F52" s="474">
        <v>-105681</v>
      </c>
      <c r="G52" s="474">
        <v>-105828</v>
      </c>
      <c r="H52" s="474">
        <v>-116833</v>
      </c>
      <c r="I52" s="474">
        <v>-118377</v>
      </c>
      <c r="J52" s="474">
        <v>-446719</v>
      </c>
      <c r="K52" s="470"/>
      <c r="L52" s="474">
        <v>-113244</v>
      </c>
      <c r="M52" s="474">
        <v>-113709</v>
      </c>
      <c r="N52" s="474">
        <v>-112133</v>
      </c>
      <c r="O52" s="474">
        <v>-117347</v>
      </c>
      <c r="P52" s="474">
        <v>-456433</v>
      </c>
      <c r="Q52" s="470"/>
      <c r="R52" s="474">
        <v>-107492</v>
      </c>
      <c r="S52" s="474">
        <v>-110574</v>
      </c>
      <c r="T52" s="474">
        <v>-120608</v>
      </c>
      <c r="U52" s="474">
        <v>-118091</v>
      </c>
      <c r="V52" s="474">
        <v>-456765</v>
      </c>
      <c r="W52" s="470"/>
      <c r="X52" s="474">
        <v>-108640</v>
      </c>
      <c r="Y52" s="474">
        <v>-112221</v>
      </c>
      <c r="Z52" s="474">
        <v>-123837</v>
      </c>
      <c r="AA52" s="474">
        <v>-119769</v>
      </c>
      <c r="AB52" s="474">
        <v>-464467</v>
      </c>
      <c r="AC52" s="470"/>
      <c r="AD52" s="474">
        <v>-109169</v>
      </c>
      <c r="AE52" s="474">
        <v>-113690</v>
      </c>
      <c r="AF52" s="474">
        <v>-119286</v>
      </c>
      <c r="AG52" s="474">
        <v>-115565</v>
      </c>
      <c r="AH52" s="474">
        <v>-457710</v>
      </c>
      <c r="AI52" s="470"/>
      <c r="AJ52" s="474">
        <v>-111518</v>
      </c>
      <c r="AK52" s="474">
        <v>-105515</v>
      </c>
      <c r="AL52" s="474">
        <v>-108953</v>
      </c>
      <c r="AM52" s="474">
        <v>-113987</v>
      </c>
      <c r="AN52" s="474">
        <v>-439973</v>
      </c>
      <c r="AO52" s="470"/>
      <c r="AP52" s="474">
        <v>-116038</v>
      </c>
      <c r="AQ52" s="474">
        <v>-124925</v>
      </c>
      <c r="AR52" s="474">
        <v>-128314</v>
      </c>
      <c r="AS52" s="474">
        <v>-139915</v>
      </c>
      <c r="AT52" s="474">
        <v>-509192</v>
      </c>
    </row>
    <row r="53" spans="1:47" s="162" customFormat="1" ht="15" hidden="1" customHeight="1" outlineLevel="1" x14ac:dyDescent="0.2">
      <c r="A53" s="168" t="str">
        <f>IF(Contents!$A$1=2,"Hydrocarbon extraction expenses in Russia","Затраты на добычу углеводородов в России")</f>
        <v>Затраты на добычу углеводородов в России</v>
      </c>
      <c r="B53" s="255" t="str">
        <f>IF(Contents!$A$1=2,"mln RUB","млн руб.")</f>
        <v>млн руб.</v>
      </c>
      <c r="C53" s="169"/>
      <c r="D53" s="428">
        <v>-142582</v>
      </c>
      <c r="E53" s="428"/>
      <c r="F53" s="428">
        <v>-36081</v>
      </c>
      <c r="G53" s="428">
        <v>-37934</v>
      </c>
      <c r="H53" s="428">
        <v>-39597</v>
      </c>
      <c r="I53" s="428">
        <v>-41761</v>
      </c>
      <c r="J53" s="428">
        <v>-155373</v>
      </c>
      <c r="K53" s="428"/>
      <c r="L53" s="428">
        <v>-39711</v>
      </c>
      <c r="M53" s="428">
        <v>-41107</v>
      </c>
      <c r="N53" s="428">
        <v>-41880</v>
      </c>
      <c r="O53" s="428">
        <v>-42943</v>
      </c>
      <c r="P53" s="428">
        <v>-165641</v>
      </c>
      <c r="Q53" s="428"/>
      <c r="R53" s="428">
        <v>-42952</v>
      </c>
      <c r="S53" s="428">
        <v>-44313</v>
      </c>
      <c r="T53" s="428">
        <v>-43978</v>
      </c>
      <c r="U53" s="428">
        <v>-46311</v>
      </c>
      <c r="V53" s="428">
        <v>-177554</v>
      </c>
      <c r="W53" s="428"/>
      <c r="X53" s="428">
        <v>-42857</v>
      </c>
      <c r="Y53" s="428">
        <v>-43717</v>
      </c>
      <c r="Z53" s="428">
        <v>-43608</v>
      </c>
      <c r="AA53" s="428">
        <v>-44949</v>
      </c>
      <c r="AB53" s="428">
        <v>-175131</v>
      </c>
      <c r="AC53" s="428"/>
      <c r="AD53" s="428">
        <v>-41243</v>
      </c>
      <c r="AE53" s="428">
        <v>-43092</v>
      </c>
      <c r="AF53" s="428">
        <v>-42970</v>
      </c>
      <c r="AG53" s="428">
        <v>-43285</v>
      </c>
      <c r="AH53" s="428">
        <v>-170590</v>
      </c>
      <c r="AI53" s="428"/>
      <c r="AJ53" s="428">
        <v>-41992</v>
      </c>
      <c r="AK53" s="428">
        <v>-39252</v>
      </c>
      <c r="AL53" s="428">
        <v>-37552</v>
      </c>
      <c r="AM53" s="428">
        <v>-39532</v>
      </c>
      <c r="AN53" s="428">
        <v>-158328</v>
      </c>
      <c r="AO53" s="428"/>
      <c r="AP53" s="428">
        <v>-37943</v>
      </c>
      <c r="AQ53" s="428">
        <v>-40236</v>
      </c>
      <c r="AR53" s="428">
        <v>-40817</v>
      </c>
      <c r="AS53" s="428">
        <v>-42790</v>
      </c>
      <c r="AT53" s="428">
        <v>-161786</v>
      </c>
    </row>
    <row r="54" spans="1:47" s="162" customFormat="1" ht="15" hidden="1" customHeight="1" outlineLevel="1" x14ac:dyDescent="0.2">
      <c r="A54" s="168" t="str">
        <f>IF(Contents!$A$1=2,"Hydrocarbon extraction expenses outside Russia, excluding expenses at the West Qurna-2 field","Затраты на добычу углеводородов за рубежом, кроме Ирака")</f>
        <v>Затраты на добычу углеводородов за рубежом, кроме Ирака</v>
      </c>
      <c r="B54" s="255" t="str">
        <f>IF(Contents!$A$1=2,"mln RUB","млн руб.")</f>
        <v>млн руб.</v>
      </c>
      <c r="C54" s="169"/>
      <c r="D54" s="428">
        <v>-8491</v>
      </c>
      <c r="E54" s="428"/>
      <c r="F54" s="428">
        <v>-3190</v>
      </c>
      <c r="G54" s="428">
        <v>-2837</v>
      </c>
      <c r="H54" s="428">
        <v>-4203</v>
      </c>
      <c r="I54" s="428">
        <v>-4294</v>
      </c>
      <c r="J54" s="428">
        <v>-14524</v>
      </c>
      <c r="K54" s="428"/>
      <c r="L54" s="428">
        <v>-4163</v>
      </c>
      <c r="M54" s="428">
        <v>-4080</v>
      </c>
      <c r="N54" s="428">
        <v>-3346</v>
      </c>
      <c r="O54" s="428">
        <v>-2993</v>
      </c>
      <c r="P54" s="428">
        <v>-14582</v>
      </c>
      <c r="Q54" s="428"/>
      <c r="R54" s="428">
        <v>-2593</v>
      </c>
      <c r="S54" s="428">
        <v>-3108</v>
      </c>
      <c r="T54" s="428">
        <v>-4537</v>
      </c>
      <c r="U54" s="428">
        <v>-4989</v>
      </c>
      <c r="V54" s="428">
        <v>-15227</v>
      </c>
      <c r="W54" s="428"/>
      <c r="X54" s="428">
        <v>-4238</v>
      </c>
      <c r="Y54" s="428">
        <v>-5113</v>
      </c>
      <c r="Z54" s="428">
        <v>-5339</v>
      </c>
      <c r="AA54" s="428">
        <v>-6406</v>
      </c>
      <c r="AB54" s="428">
        <v>-21096</v>
      </c>
      <c r="AC54" s="428"/>
      <c r="AD54" s="428">
        <v>-4586</v>
      </c>
      <c r="AE54" s="428">
        <v>-5482</v>
      </c>
      <c r="AF54" s="428">
        <v>-6607</v>
      </c>
      <c r="AG54" s="428">
        <v>-6592</v>
      </c>
      <c r="AH54" s="428">
        <v>-23267</v>
      </c>
      <c r="AI54" s="428"/>
      <c r="AJ54" s="428">
        <v>-5323</v>
      </c>
      <c r="AK54" s="428">
        <v>-6184</v>
      </c>
      <c r="AL54" s="428">
        <v>-5297</v>
      </c>
      <c r="AM54" s="428">
        <v>-6567</v>
      </c>
      <c r="AN54" s="428">
        <v>-23371</v>
      </c>
      <c r="AO54" s="428"/>
      <c r="AP54" s="428">
        <v>-6392</v>
      </c>
      <c r="AQ54" s="428">
        <v>-6555</v>
      </c>
      <c r="AR54" s="428">
        <v>-6231</v>
      </c>
      <c r="AS54" s="428">
        <v>-6438</v>
      </c>
      <c r="AT54" s="428">
        <v>-25616</v>
      </c>
    </row>
    <row r="55" spans="1:47" s="162" customFormat="1" ht="15" hidden="1" customHeight="1" outlineLevel="1" x14ac:dyDescent="0.2">
      <c r="A55" s="168" t="str">
        <f>IF(Contents!$A$1=2,"Extraction expenses at the West Qurna-2 field","Затраты на добычу нефти на месторождении Западная Курна-2")</f>
        <v>Затраты на добычу нефти на месторождении Западная Курна-2</v>
      </c>
      <c r="B55" s="255" t="str">
        <f>IF(Contents!$A$1=2,"mln RUB","млн руб.")</f>
        <v>млн руб.</v>
      </c>
      <c r="C55" s="169"/>
      <c r="D55" s="428">
        <v>-22736</v>
      </c>
      <c r="E55" s="428"/>
      <c r="F55" s="428">
        <v>-12563</v>
      </c>
      <c r="G55" s="428">
        <v>-11373</v>
      </c>
      <c r="H55" s="428">
        <v>-11273</v>
      </c>
      <c r="I55" s="428">
        <v>-12068</v>
      </c>
      <c r="J55" s="428">
        <v>-47277</v>
      </c>
      <c r="K55" s="428"/>
      <c r="L55" s="428">
        <v>-10203</v>
      </c>
      <c r="M55" s="428">
        <v>-8407</v>
      </c>
      <c r="N55" s="428">
        <v>-6741</v>
      </c>
      <c r="O55" s="428">
        <v>-5880</v>
      </c>
      <c r="P55" s="428">
        <v>-31231</v>
      </c>
      <c r="Q55" s="428"/>
      <c r="R55" s="428">
        <v>-4322</v>
      </c>
      <c r="S55" s="428">
        <v>-4721</v>
      </c>
      <c r="T55" s="428">
        <v>-3641</v>
      </c>
      <c r="U55" s="428">
        <v>-3494</v>
      </c>
      <c r="V55" s="428">
        <v>-16178</v>
      </c>
      <c r="W55" s="428"/>
      <c r="X55" s="428">
        <v>-3575</v>
      </c>
      <c r="Y55" s="428">
        <v>-4261</v>
      </c>
      <c r="Z55" s="428">
        <v>-4743</v>
      </c>
      <c r="AA55" s="428">
        <v>-5009</v>
      </c>
      <c r="AB55" s="428">
        <v>-17588</v>
      </c>
      <c r="AC55" s="428"/>
      <c r="AD55" s="428">
        <v>-4757</v>
      </c>
      <c r="AE55" s="428">
        <v>-4269</v>
      </c>
      <c r="AF55" s="428">
        <v>-3851</v>
      </c>
      <c r="AG55" s="428">
        <v>-4133</v>
      </c>
      <c r="AH55" s="428">
        <v>-17010</v>
      </c>
      <c r="AI55" s="428"/>
      <c r="AJ55" s="428">
        <v>-4344</v>
      </c>
      <c r="AK55" s="428">
        <v>-4109</v>
      </c>
      <c r="AL55" s="428">
        <v>-3821</v>
      </c>
      <c r="AM55" s="428">
        <v>-4938</v>
      </c>
      <c r="AN55" s="428">
        <v>-17212</v>
      </c>
      <c r="AO55" s="428"/>
      <c r="AP55" s="428">
        <v>-4204</v>
      </c>
      <c r="AQ55" s="428">
        <v>-3919</v>
      </c>
      <c r="AR55" s="428">
        <v>-4187</v>
      </c>
      <c r="AS55" s="428">
        <v>-4178</v>
      </c>
      <c r="AT55" s="428">
        <v>-16488</v>
      </c>
    </row>
    <row r="56" spans="1:47" s="162" customFormat="1" ht="15" hidden="1" customHeight="1" outlineLevel="1" x14ac:dyDescent="0.2">
      <c r="A56" s="338" t="str">
        <f>IF(Contents!$A$1=2,"Refining expenses at the Group refineries in Russia","Затраты на переработку на НПЗ Группы в России")</f>
        <v>Затраты на переработку на НПЗ Группы в России</v>
      </c>
      <c r="B56" s="255" t="str">
        <f>IF(Contents!$A$1=2,"mln RUB","млн руб.")</f>
        <v>млн руб.</v>
      </c>
      <c r="C56" s="169"/>
      <c r="D56" s="428">
        <v>-41280</v>
      </c>
      <c r="E56" s="428"/>
      <c r="F56" s="428">
        <v>-8522</v>
      </c>
      <c r="G56" s="428">
        <v>-10403</v>
      </c>
      <c r="H56" s="428">
        <v>-12528</v>
      </c>
      <c r="I56" s="428">
        <v>-12692</v>
      </c>
      <c r="J56" s="428">
        <v>-44145</v>
      </c>
      <c r="K56" s="428"/>
      <c r="L56" s="428">
        <v>-10135</v>
      </c>
      <c r="M56" s="428">
        <v>-11076</v>
      </c>
      <c r="N56" s="428">
        <v>-10799</v>
      </c>
      <c r="O56" s="428">
        <v>-11732</v>
      </c>
      <c r="P56" s="428">
        <v>-43742</v>
      </c>
      <c r="Q56" s="428"/>
      <c r="R56" s="428">
        <v>-10149</v>
      </c>
      <c r="S56" s="428">
        <v>-9432</v>
      </c>
      <c r="T56" s="428">
        <v>-10207</v>
      </c>
      <c r="U56" s="428">
        <v>-11182</v>
      </c>
      <c r="V56" s="428">
        <v>-40970</v>
      </c>
      <c r="W56" s="428"/>
      <c r="X56" s="428">
        <v>-9325</v>
      </c>
      <c r="Y56" s="428">
        <v>-10730</v>
      </c>
      <c r="Z56" s="428">
        <v>-12821</v>
      </c>
      <c r="AA56" s="428">
        <v>-12783</v>
      </c>
      <c r="AB56" s="428">
        <v>-45659</v>
      </c>
      <c r="AC56" s="428"/>
      <c r="AD56" s="428">
        <v>-9640</v>
      </c>
      <c r="AE56" s="428">
        <v>-10551</v>
      </c>
      <c r="AF56" s="428">
        <v>-11036</v>
      </c>
      <c r="AG56" s="428">
        <v>-11328</v>
      </c>
      <c r="AH56" s="428">
        <v>-42555</v>
      </c>
      <c r="AI56" s="428"/>
      <c r="AJ56" s="428">
        <v>-9544</v>
      </c>
      <c r="AK56" s="428">
        <v>-9570</v>
      </c>
      <c r="AL56" s="428">
        <v>-10961</v>
      </c>
      <c r="AM56" s="428">
        <v>-12539</v>
      </c>
      <c r="AN56" s="428">
        <v>-42614</v>
      </c>
      <c r="AO56" s="428"/>
      <c r="AP56" s="428">
        <v>-12337</v>
      </c>
      <c r="AQ56" s="428">
        <v>-12195</v>
      </c>
      <c r="AR56" s="428">
        <v>-13383</v>
      </c>
      <c r="AS56" s="428">
        <v>-14836</v>
      </c>
      <c r="AT56" s="428">
        <v>-52751</v>
      </c>
    </row>
    <row r="57" spans="1:47" s="162" customFormat="1" ht="15" hidden="1" customHeight="1" outlineLevel="1" x14ac:dyDescent="0.2">
      <c r="A57" s="338" t="str">
        <f>IF(Contents!$A$1=2,"Refining expenses at the Group refineries outside Russia","Затраты на переработку на НПЗ Группы за рубежом")</f>
        <v>Затраты на переработку на НПЗ Группы за рубежом</v>
      </c>
      <c r="B57" s="255" t="str">
        <f>IF(Contents!$A$1=2,"mln RUB","млн руб.")</f>
        <v>млн руб.</v>
      </c>
      <c r="C57" s="169"/>
      <c r="D57" s="428">
        <v>-43536</v>
      </c>
      <c r="E57" s="428"/>
      <c r="F57" s="428">
        <v>-13646</v>
      </c>
      <c r="G57" s="428">
        <v>-10601</v>
      </c>
      <c r="H57" s="428">
        <v>-12258</v>
      </c>
      <c r="I57" s="428">
        <v>-13799</v>
      </c>
      <c r="J57" s="428">
        <v>-50304</v>
      </c>
      <c r="K57" s="428"/>
      <c r="L57" s="428">
        <v>-12315</v>
      </c>
      <c r="M57" s="428">
        <v>-11728</v>
      </c>
      <c r="N57" s="428">
        <v>-10303</v>
      </c>
      <c r="O57" s="428">
        <v>-12585</v>
      </c>
      <c r="P57" s="428">
        <v>-46931</v>
      </c>
      <c r="Q57" s="428"/>
      <c r="R57" s="428">
        <v>-10862</v>
      </c>
      <c r="S57" s="428">
        <v>-10559</v>
      </c>
      <c r="T57" s="428">
        <v>-12249</v>
      </c>
      <c r="U57" s="428">
        <v>-11868</v>
      </c>
      <c r="V57" s="428">
        <v>-45538</v>
      </c>
      <c r="W57" s="428"/>
      <c r="X57" s="428">
        <v>-12671</v>
      </c>
      <c r="Y57" s="428">
        <v>-14947</v>
      </c>
      <c r="Z57" s="428">
        <v>-15497</v>
      </c>
      <c r="AA57" s="428">
        <v>-16213</v>
      </c>
      <c r="AB57" s="428">
        <v>-59328</v>
      </c>
      <c r="AC57" s="428"/>
      <c r="AD57" s="428">
        <v>-13864</v>
      </c>
      <c r="AE57" s="428">
        <v>-12910</v>
      </c>
      <c r="AF57" s="428">
        <v>-13906</v>
      </c>
      <c r="AG57" s="428">
        <v>-13308</v>
      </c>
      <c r="AH57" s="428">
        <v>-53988</v>
      </c>
      <c r="AI57" s="428"/>
      <c r="AJ57" s="428">
        <v>-12730</v>
      </c>
      <c r="AK57" s="428">
        <v>-11041</v>
      </c>
      <c r="AL57" s="428">
        <v>-13204</v>
      </c>
      <c r="AM57" s="428">
        <v>-13024</v>
      </c>
      <c r="AN57" s="428">
        <v>-49999</v>
      </c>
      <c r="AO57" s="428"/>
      <c r="AP57" s="428">
        <v>-15038</v>
      </c>
      <c r="AQ57" s="428">
        <v>-17527</v>
      </c>
      <c r="AR57" s="428">
        <v>-18788</v>
      </c>
      <c r="AS57" s="428">
        <v>-24989</v>
      </c>
      <c r="AT57" s="428">
        <v>-76342</v>
      </c>
    </row>
    <row r="58" spans="1:47" s="162" customFormat="1" ht="15" hidden="1" customHeight="1" outlineLevel="1" x14ac:dyDescent="0.2">
      <c r="A58" s="168" t="str">
        <f>IF(Contents!$A$1=2,"Refining expenses at third-party refineries","Затраты на переработку на сторонних НПЗ")</f>
        <v>Затраты на переработку на сторонних НПЗ</v>
      </c>
      <c r="B58" s="255" t="str">
        <f>IF(Contents!$A$1=2,"mln RUB","млн руб.")</f>
        <v>млн руб.</v>
      </c>
      <c r="C58" s="169"/>
      <c r="D58" s="428">
        <v>-2900</v>
      </c>
      <c r="E58" s="428"/>
      <c r="F58" s="428">
        <v>-553</v>
      </c>
      <c r="G58" s="428">
        <v>-525</v>
      </c>
      <c r="H58" s="428">
        <v>-914</v>
      </c>
      <c r="I58" s="428">
        <v>-612</v>
      </c>
      <c r="J58" s="428">
        <v>-2604</v>
      </c>
      <c r="K58" s="428"/>
      <c r="L58" s="428">
        <v>-248</v>
      </c>
      <c r="M58" s="428">
        <v>-173</v>
      </c>
      <c r="N58" s="428">
        <v>-185</v>
      </c>
      <c r="O58" s="428">
        <v>-1353</v>
      </c>
      <c r="P58" s="428">
        <v>-1959</v>
      </c>
      <c r="Q58" s="428"/>
      <c r="R58" s="428">
        <v>-1075</v>
      </c>
      <c r="S58" s="428">
        <v>-1937</v>
      </c>
      <c r="T58" s="428">
        <v>-7223</v>
      </c>
      <c r="U58" s="428">
        <v>-5168</v>
      </c>
      <c r="V58" s="428">
        <v>-15403</v>
      </c>
      <c r="W58" s="428"/>
      <c r="X58" s="428">
        <v>-2656</v>
      </c>
      <c r="Y58" s="428">
        <v>-1374</v>
      </c>
      <c r="Z58" s="428">
        <v>-4712</v>
      </c>
      <c r="AA58" s="428">
        <v>722</v>
      </c>
      <c r="AB58" s="428">
        <v>-8020</v>
      </c>
      <c r="AC58" s="428"/>
      <c r="AD58" s="428">
        <v>-2969</v>
      </c>
      <c r="AE58" s="428">
        <v>-1199</v>
      </c>
      <c r="AF58" s="428">
        <v>-4523</v>
      </c>
      <c r="AG58" s="428">
        <v>1516</v>
      </c>
      <c r="AH58" s="428">
        <v>-7175</v>
      </c>
      <c r="AI58" s="428"/>
      <c r="AJ58" s="428">
        <v>-186</v>
      </c>
      <c r="AK58" s="428">
        <v>-87</v>
      </c>
      <c r="AL58" s="428">
        <v>-148</v>
      </c>
      <c r="AM58" s="428">
        <v>-103</v>
      </c>
      <c r="AN58" s="428">
        <v>-524</v>
      </c>
      <c r="AO58" s="428"/>
      <c r="AP58" s="428">
        <v>0</v>
      </c>
      <c r="AQ58" s="428">
        <v>0</v>
      </c>
      <c r="AR58" s="428">
        <v>0</v>
      </c>
      <c r="AS58" s="428">
        <v>0</v>
      </c>
      <c r="AT58" s="428">
        <v>0</v>
      </c>
    </row>
    <row r="59" spans="1:47" s="162" customFormat="1" ht="15" hidden="1" customHeight="1" outlineLevel="1" x14ac:dyDescent="0.2">
      <c r="A59" s="168" t="str">
        <f>IF(Contents!$A$1=2,"Expenses for feedstock transportation to refineries","Затраты на транспортировку сырья до НПЗ")</f>
        <v>Затраты на транспортировку сырья до НПЗ</v>
      </c>
      <c r="B59" s="255" t="str">
        <f>IF(Contents!$A$1=2,"mln RUB","млн руб.")</f>
        <v>млн руб.</v>
      </c>
      <c r="C59" s="169"/>
      <c r="D59" s="428">
        <v>-39220</v>
      </c>
      <c r="E59" s="428"/>
      <c r="F59" s="428">
        <v>-10508</v>
      </c>
      <c r="G59" s="428">
        <v>-9612</v>
      </c>
      <c r="H59" s="428">
        <v>-11357</v>
      </c>
      <c r="I59" s="428">
        <v>-10221</v>
      </c>
      <c r="J59" s="428">
        <v>-41698</v>
      </c>
      <c r="K59" s="428"/>
      <c r="L59" s="428">
        <v>-12311</v>
      </c>
      <c r="M59" s="428">
        <v>-10917</v>
      </c>
      <c r="N59" s="428">
        <v>-11229</v>
      </c>
      <c r="O59" s="428">
        <v>-11892</v>
      </c>
      <c r="P59" s="428">
        <v>-46349</v>
      </c>
      <c r="Q59" s="428"/>
      <c r="R59" s="428">
        <v>-10814</v>
      </c>
      <c r="S59" s="428">
        <v>-12571</v>
      </c>
      <c r="T59" s="428">
        <v>-12896</v>
      </c>
      <c r="U59" s="428">
        <v>-12473</v>
      </c>
      <c r="V59" s="428">
        <v>-48754</v>
      </c>
      <c r="W59" s="428"/>
      <c r="X59" s="428">
        <v>-11709</v>
      </c>
      <c r="Y59" s="428">
        <v>-12856</v>
      </c>
      <c r="Z59" s="428">
        <v>-13324</v>
      </c>
      <c r="AA59" s="428">
        <v>-12375</v>
      </c>
      <c r="AB59" s="428">
        <v>-50264</v>
      </c>
      <c r="AC59" s="428"/>
      <c r="AD59" s="428">
        <v>-11778</v>
      </c>
      <c r="AE59" s="428">
        <v>-14268</v>
      </c>
      <c r="AF59" s="428">
        <v>-13570</v>
      </c>
      <c r="AG59" s="428">
        <v>-13268</v>
      </c>
      <c r="AH59" s="428">
        <v>-52884</v>
      </c>
      <c r="AI59" s="428"/>
      <c r="AJ59" s="428">
        <v>-15573</v>
      </c>
      <c r="AK59" s="428">
        <v>-13486</v>
      </c>
      <c r="AL59" s="428">
        <v>-11919</v>
      </c>
      <c r="AM59" s="428">
        <v>-10715</v>
      </c>
      <c r="AN59" s="428">
        <v>-51693</v>
      </c>
      <c r="AO59" s="428"/>
      <c r="AP59" s="428">
        <v>-11147</v>
      </c>
      <c r="AQ59" s="428">
        <v>-12931</v>
      </c>
      <c r="AR59" s="428">
        <v>-13971</v>
      </c>
      <c r="AS59" s="428">
        <v>-12464</v>
      </c>
      <c r="AT59" s="428">
        <v>-50513</v>
      </c>
    </row>
    <row r="60" spans="1:47" s="162" customFormat="1" ht="15" hidden="1" customHeight="1" outlineLevel="1" x14ac:dyDescent="0.2">
      <c r="A60" s="168" t="str">
        <f>IF(Contents!$A$1=2,"Power generation and distribution expenses","Затраты предприятий энергетики")</f>
        <v>Затраты предприятий энергетики</v>
      </c>
      <c r="B60" s="255" t="str">
        <f>IF(Contents!$A$1=2,"mln RUB","млн руб.")</f>
        <v>млн руб.</v>
      </c>
      <c r="C60" s="169"/>
      <c r="D60" s="428">
        <v>-32430</v>
      </c>
      <c r="E60" s="428"/>
      <c r="F60" s="428">
        <v>-9067</v>
      </c>
      <c r="G60" s="428">
        <v>-9566</v>
      </c>
      <c r="H60" s="428">
        <v>-8804</v>
      </c>
      <c r="I60" s="428">
        <v>-8855</v>
      </c>
      <c r="J60" s="428">
        <v>-36292</v>
      </c>
      <c r="K60" s="428"/>
      <c r="L60" s="428">
        <v>-10271</v>
      </c>
      <c r="M60" s="428">
        <v>-8618</v>
      </c>
      <c r="N60" s="428">
        <v>-10186</v>
      </c>
      <c r="O60" s="428">
        <v>-10331</v>
      </c>
      <c r="P60" s="428">
        <v>-39406</v>
      </c>
      <c r="Q60" s="428"/>
      <c r="R60" s="428">
        <v>-8709</v>
      </c>
      <c r="S60" s="428">
        <v>-7471</v>
      </c>
      <c r="T60" s="428">
        <v>-7079</v>
      </c>
      <c r="U60" s="428">
        <v>-10143</v>
      </c>
      <c r="V60" s="428">
        <v>-32123</v>
      </c>
      <c r="W60" s="428"/>
      <c r="X60" s="428">
        <v>-7627</v>
      </c>
      <c r="Y60" s="428">
        <v>-6871</v>
      </c>
      <c r="Z60" s="428">
        <v>-6826</v>
      </c>
      <c r="AA60" s="428">
        <v>-8721</v>
      </c>
      <c r="AB60" s="428">
        <v>-30045</v>
      </c>
      <c r="AC60" s="428"/>
      <c r="AD60" s="428">
        <v>-7558</v>
      </c>
      <c r="AE60" s="428">
        <v>-7047</v>
      </c>
      <c r="AF60" s="428">
        <v>-7310</v>
      </c>
      <c r="AG60" s="428">
        <v>-8517</v>
      </c>
      <c r="AH60" s="428">
        <v>-30432</v>
      </c>
      <c r="AI60" s="428"/>
      <c r="AJ60" s="428">
        <v>-7550</v>
      </c>
      <c r="AK60" s="428">
        <v>-6785</v>
      </c>
      <c r="AL60" s="428">
        <v>-7406</v>
      </c>
      <c r="AM60" s="428">
        <v>-8250</v>
      </c>
      <c r="AN60" s="428">
        <v>-29991</v>
      </c>
      <c r="AO60" s="428"/>
      <c r="AP60" s="428">
        <v>-8252</v>
      </c>
      <c r="AQ60" s="428">
        <v>-7259</v>
      </c>
      <c r="AR60" s="428">
        <v>-7553</v>
      </c>
      <c r="AS60" s="428">
        <v>-8813</v>
      </c>
      <c r="AT60" s="428">
        <v>-31877</v>
      </c>
    </row>
    <row r="61" spans="1:47" s="162" customFormat="1" ht="15" hidden="1" customHeight="1" outlineLevel="1" x14ac:dyDescent="0.2">
      <c r="A61" s="168" t="str">
        <f>IF(Contents!$A$1=2,"Petrochemical expenses","Затраты предприятий нефтехимии")</f>
        <v>Затраты предприятий нефтехимии</v>
      </c>
      <c r="B61" s="255" t="str">
        <f>IF(Contents!$A$1=2,"mln RUB","млн руб.")</f>
        <v>млн руб.</v>
      </c>
      <c r="C61" s="169"/>
      <c r="D61" s="428">
        <v>-7036</v>
      </c>
      <c r="E61" s="428"/>
      <c r="F61" s="428">
        <v>-2383</v>
      </c>
      <c r="G61" s="428">
        <v>-2410</v>
      </c>
      <c r="H61" s="428">
        <v>-3075</v>
      </c>
      <c r="I61" s="428">
        <v>-3125</v>
      </c>
      <c r="J61" s="428">
        <v>-10993</v>
      </c>
      <c r="K61" s="428"/>
      <c r="L61" s="428">
        <v>-3313</v>
      </c>
      <c r="M61" s="428">
        <v>-3289</v>
      </c>
      <c r="N61" s="428">
        <v>-3097</v>
      </c>
      <c r="O61" s="428">
        <v>-3059</v>
      </c>
      <c r="P61" s="428">
        <v>-12758</v>
      </c>
      <c r="Q61" s="428"/>
      <c r="R61" s="428">
        <v>-2994</v>
      </c>
      <c r="S61" s="428">
        <v>-2920</v>
      </c>
      <c r="T61" s="428">
        <v>-2987</v>
      </c>
      <c r="U61" s="428">
        <v>-3180</v>
      </c>
      <c r="V61" s="428">
        <v>-12081</v>
      </c>
      <c r="W61" s="428"/>
      <c r="X61" s="428">
        <v>-2866</v>
      </c>
      <c r="Y61" s="428">
        <v>-2780</v>
      </c>
      <c r="Z61" s="428">
        <v>-2987</v>
      </c>
      <c r="AA61" s="428">
        <v>-3442</v>
      </c>
      <c r="AB61" s="428">
        <v>-12075</v>
      </c>
      <c r="AC61" s="428"/>
      <c r="AD61" s="428">
        <v>-2987</v>
      </c>
      <c r="AE61" s="428">
        <v>-3193</v>
      </c>
      <c r="AF61" s="428">
        <v>-2904</v>
      </c>
      <c r="AG61" s="428">
        <v>-3379</v>
      </c>
      <c r="AH61" s="428">
        <v>-12463</v>
      </c>
      <c r="AI61" s="428"/>
      <c r="AJ61" s="428">
        <v>-2923</v>
      </c>
      <c r="AK61" s="428">
        <v>-3051</v>
      </c>
      <c r="AL61" s="428">
        <v>-3057</v>
      </c>
      <c r="AM61" s="428">
        <v>-3700</v>
      </c>
      <c r="AN61" s="428">
        <v>-12731</v>
      </c>
      <c r="AO61" s="428"/>
      <c r="AP61" s="428">
        <v>-3349</v>
      </c>
      <c r="AQ61" s="428">
        <v>-3607</v>
      </c>
      <c r="AR61" s="428">
        <v>-4388</v>
      </c>
      <c r="AS61" s="428">
        <v>-5243</v>
      </c>
      <c r="AT61" s="428">
        <v>-16587</v>
      </c>
    </row>
    <row r="62" spans="1:47" s="162" customFormat="1" ht="15" hidden="1" customHeight="1" outlineLevel="1" x14ac:dyDescent="0.2">
      <c r="A62" s="168" t="str">
        <f>IF(Contents!$A$1=2,"Other operating expenses","Прочие операционные расходы")</f>
        <v>Прочие операционные расходы</v>
      </c>
      <c r="B62" s="255" t="str">
        <f>IF(Contents!$A$1=2,"mln RUB","млн руб.")</f>
        <v>млн руб.</v>
      </c>
      <c r="C62" s="169"/>
      <c r="D62" s="428">
        <v>-28294</v>
      </c>
      <c r="E62" s="428"/>
      <c r="F62" s="428">
        <v>-9168</v>
      </c>
      <c r="G62" s="428">
        <v>-10567</v>
      </c>
      <c r="H62" s="428">
        <v>-12824</v>
      </c>
      <c r="I62" s="428">
        <v>-10950</v>
      </c>
      <c r="J62" s="428">
        <v>-43509</v>
      </c>
      <c r="K62" s="428"/>
      <c r="L62" s="428">
        <v>-10574</v>
      </c>
      <c r="M62" s="428">
        <v>-14314</v>
      </c>
      <c r="N62" s="428">
        <v>-14367</v>
      </c>
      <c r="O62" s="428">
        <v>-14579</v>
      </c>
      <c r="P62" s="428">
        <v>-53834</v>
      </c>
      <c r="Q62" s="428"/>
      <c r="R62" s="428">
        <v>-13022</v>
      </c>
      <c r="S62" s="428">
        <v>-13542</v>
      </c>
      <c r="T62" s="428">
        <v>-15811</v>
      </c>
      <c r="U62" s="428">
        <v>-9283</v>
      </c>
      <c r="V62" s="428">
        <v>-52937</v>
      </c>
      <c r="W62" s="428"/>
      <c r="X62" s="428">
        <v>-11116</v>
      </c>
      <c r="Y62" s="428">
        <v>-9572</v>
      </c>
      <c r="Z62" s="428">
        <v>-13980</v>
      </c>
      <c r="AA62" s="428">
        <v>-10593</v>
      </c>
      <c r="AB62" s="428">
        <v>-45261</v>
      </c>
      <c r="AC62" s="428"/>
      <c r="AD62" s="428">
        <v>-9787</v>
      </c>
      <c r="AE62" s="428">
        <v>-11679</v>
      </c>
      <c r="AF62" s="428">
        <v>-12609</v>
      </c>
      <c r="AG62" s="428">
        <v>-13271</v>
      </c>
      <c r="AH62" s="428">
        <v>-47346</v>
      </c>
      <c r="AI62" s="428"/>
      <c r="AJ62" s="428">
        <v>-11353</v>
      </c>
      <c r="AK62" s="428">
        <v>-11950</v>
      </c>
      <c r="AL62" s="428">
        <v>-15588</v>
      </c>
      <c r="AM62" s="428">
        <v>-14619</v>
      </c>
      <c r="AN62" s="428">
        <v>-53510</v>
      </c>
      <c r="AO62" s="428"/>
      <c r="AP62" s="428">
        <v>-17376</v>
      </c>
      <c r="AQ62" s="428">
        <v>-20696</v>
      </c>
      <c r="AR62" s="428">
        <v>-18996</v>
      </c>
      <c r="AS62" s="428">
        <v>-20164</v>
      </c>
      <c r="AT62" s="428">
        <v>-77232</v>
      </c>
    </row>
    <row r="63" spans="1:47" ht="15" customHeight="1" collapsed="1" x14ac:dyDescent="0.2">
      <c r="A63" s="100" t="str">
        <f>IF(Contents!$A$1=2,"Cost of purchased crude oil, gas and products","Стоимость приобретенных нефти, газа и продуктов их переработки")</f>
        <v>Стоимость приобретенных нефти, газа и продуктов их переработки</v>
      </c>
      <c r="B63" s="250" t="str">
        <f>IF(Contents!$A$1=2,"mln RUB","млн руб.")</f>
        <v>млн руб.</v>
      </c>
      <c r="C63" s="82"/>
      <c r="D63" s="474">
        <v>-2781856</v>
      </c>
      <c r="E63" s="470"/>
      <c r="F63" s="474">
        <v>-700065</v>
      </c>
      <c r="G63" s="474">
        <v>-777640</v>
      </c>
      <c r="H63" s="474">
        <v>-733220</v>
      </c>
      <c r="I63" s="474">
        <v>-680749</v>
      </c>
      <c r="J63" s="474">
        <v>-2891674</v>
      </c>
      <c r="K63" s="470"/>
      <c r="L63" s="474">
        <v>-537733</v>
      </c>
      <c r="M63" s="474">
        <v>-677297</v>
      </c>
      <c r="N63" s="474">
        <v>-654871</v>
      </c>
      <c r="O63" s="474">
        <v>-739863</v>
      </c>
      <c r="P63" s="474">
        <v>-2609764</v>
      </c>
      <c r="Q63" s="470"/>
      <c r="R63" s="474">
        <v>-742569</v>
      </c>
      <c r="S63" s="474">
        <v>-701164</v>
      </c>
      <c r="T63" s="474">
        <v>-782950</v>
      </c>
      <c r="U63" s="474">
        <v>-903181</v>
      </c>
      <c r="V63" s="474">
        <v>-3129864</v>
      </c>
      <c r="W63" s="470"/>
      <c r="X63" s="474">
        <v>-891429</v>
      </c>
      <c r="Y63" s="474">
        <v>-1187883</v>
      </c>
      <c r="Z63" s="474">
        <v>-1323504</v>
      </c>
      <c r="AA63" s="474">
        <v>-1131428</v>
      </c>
      <c r="AB63" s="474">
        <v>-4534244</v>
      </c>
      <c r="AC63" s="470"/>
      <c r="AD63" s="474">
        <v>-987525</v>
      </c>
      <c r="AE63" s="474">
        <v>-1210383</v>
      </c>
      <c r="AF63" s="474">
        <v>-1050010</v>
      </c>
      <c r="AG63" s="474">
        <v>-1060155</v>
      </c>
      <c r="AH63" s="474">
        <v>-4308073</v>
      </c>
      <c r="AI63" s="470"/>
      <c r="AJ63" s="474">
        <v>-971675</v>
      </c>
      <c r="AK63" s="474">
        <v>-394970</v>
      </c>
      <c r="AL63" s="474">
        <v>-790660</v>
      </c>
      <c r="AM63" s="474">
        <v>-843611</v>
      </c>
      <c r="AN63" s="474">
        <v>-3000916</v>
      </c>
      <c r="AO63" s="470"/>
      <c r="AP63" s="474">
        <v>-1029125</v>
      </c>
      <c r="AQ63" s="474">
        <v>-1214383</v>
      </c>
      <c r="AR63" s="474">
        <v>-1574170</v>
      </c>
      <c r="AS63" s="474">
        <v>-1667146</v>
      </c>
      <c r="AT63" s="474">
        <v>-5484824</v>
      </c>
    </row>
    <row r="64" spans="1:47" s="206" customFormat="1" ht="15" hidden="1" customHeight="1" outlineLevel="1" x14ac:dyDescent="0.2">
      <c r="A64" s="184" t="str">
        <f>IF(Contents!$A$1=2,"Cost of purchased crude oil","Итого стоимость приобретенной нефти")</f>
        <v>Итого стоимость приобретенной нефти</v>
      </c>
      <c r="B64" s="258" t="str">
        <f>IF(Contents!$A$1=2,"mln RUB","млн руб.")</f>
        <v>млн руб.</v>
      </c>
      <c r="C64" s="82"/>
      <c r="D64" s="460">
        <v>0</v>
      </c>
      <c r="E64" s="469"/>
      <c r="F64" s="460">
        <v>0</v>
      </c>
      <c r="G64" s="460">
        <v>0</v>
      </c>
      <c r="H64" s="460">
        <v>0</v>
      </c>
      <c r="I64" s="460">
        <v>0</v>
      </c>
      <c r="J64" s="460">
        <v>0</v>
      </c>
      <c r="K64" s="469"/>
      <c r="L64" s="460">
        <v>-193267</v>
      </c>
      <c r="M64" s="460">
        <v>-248781</v>
      </c>
      <c r="N64" s="460">
        <v>-258470</v>
      </c>
      <c r="O64" s="460">
        <v>-321010</v>
      </c>
      <c r="P64" s="460">
        <v>-1021528</v>
      </c>
      <c r="Q64" s="469"/>
      <c r="R64" s="460">
        <v>-301727</v>
      </c>
      <c r="S64" s="460">
        <v>-299698</v>
      </c>
      <c r="T64" s="460">
        <v>-317836</v>
      </c>
      <c r="U64" s="460">
        <v>-445590</v>
      </c>
      <c r="V64" s="460">
        <v>-1364851</v>
      </c>
      <c r="W64" s="469"/>
      <c r="X64" s="460">
        <v>-423793</v>
      </c>
      <c r="Y64" s="460">
        <v>-609392</v>
      </c>
      <c r="Z64" s="460">
        <v>-689580</v>
      </c>
      <c r="AA64" s="460">
        <v>-564974</v>
      </c>
      <c r="AB64" s="460">
        <v>-2287739</v>
      </c>
      <c r="AC64" s="469"/>
      <c r="AD64" s="460">
        <v>-516830</v>
      </c>
      <c r="AE64" s="460">
        <v>-642462</v>
      </c>
      <c r="AF64" s="460">
        <v>-601221</v>
      </c>
      <c r="AG64" s="460">
        <v>-523187</v>
      </c>
      <c r="AH64" s="460">
        <v>-2283700</v>
      </c>
      <c r="AI64" s="469"/>
      <c r="AJ64" s="460">
        <v>-532088</v>
      </c>
      <c r="AK64" s="460">
        <v>-226347</v>
      </c>
      <c r="AL64" s="460">
        <v>-413811</v>
      </c>
      <c r="AM64" s="460">
        <v>-348658</v>
      </c>
      <c r="AN64" s="460">
        <v>-1520904</v>
      </c>
      <c r="AO64" s="469"/>
      <c r="AP64" s="460">
        <v>-477189</v>
      </c>
      <c r="AQ64" s="460">
        <v>-683750</v>
      </c>
      <c r="AR64" s="460">
        <v>-908848</v>
      </c>
      <c r="AS64" s="460">
        <v>-833041</v>
      </c>
      <c r="AT64" s="460">
        <v>-2902828</v>
      </c>
      <c r="AU64" s="340"/>
    </row>
    <row r="65" spans="1:47" s="206" customFormat="1" ht="15" hidden="1" customHeight="1" outlineLevel="1" x14ac:dyDescent="0.2">
      <c r="A65" s="165" t="str">
        <f>IF(Contents!$A$1=2,"Cost of purchased crude oil in Russia","Стоимость приобретенной нефти в России")</f>
        <v>Стоимость приобретенной нефти в России</v>
      </c>
      <c r="B65" s="255" t="str">
        <f>IF(Contents!$A$1=2,"mln RUB","млн руб.")</f>
        <v>млн руб.</v>
      </c>
      <c r="C65" s="82"/>
      <c r="D65" s="427">
        <v>0</v>
      </c>
      <c r="E65" s="428"/>
      <c r="F65" s="427">
        <v>0</v>
      </c>
      <c r="G65" s="427">
        <v>0</v>
      </c>
      <c r="H65" s="427">
        <v>0</v>
      </c>
      <c r="I65" s="427">
        <v>0</v>
      </c>
      <c r="J65" s="427">
        <v>0</v>
      </c>
      <c r="K65" s="428"/>
      <c r="L65" s="427">
        <v>-2373</v>
      </c>
      <c r="M65" s="427">
        <v>-3290</v>
      </c>
      <c r="N65" s="427">
        <v>-3170</v>
      </c>
      <c r="O65" s="427">
        <v>-3213</v>
      </c>
      <c r="P65" s="427">
        <v>-12046</v>
      </c>
      <c r="Q65" s="428"/>
      <c r="R65" s="427">
        <v>-4207</v>
      </c>
      <c r="S65" s="427">
        <v>-4172</v>
      </c>
      <c r="T65" s="427">
        <v>-4071</v>
      </c>
      <c r="U65" s="427">
        <v>-4446</v>
      </c>
      <c r="V65" s="427">
        <v>-16896</v>
      </c>
      <c r="W65" s="428"/>
      <c r="X65" s="427">
        <v>-4621</v>
      </c>
      <c r="Y65" s="427">
        <v>-4909</v>
      </c>
      <c r="Z65" s="427">
        <v>-6242</v>
      </c>
      <c r="AA65" s="427">
        <v>-5686</v>
      </c>
      <c r="AB65" s="427">
        <v>-21458</v>
      </c>
      <c r="AC65" s="428"/>
      <c r="AD65" s="427">
        <v>-4310</v>
      </c>
      <c r="AE65" s="427">
        <v>-4675</v>
      </c>
      <c r="AF65" s="427">
        <v>-3846</v>
      </c>
      <c r="AG65" s="427">
        <v>-5292</v>
      </c>
      <c r="AH65" s="427">
        <v>-18123</v>
      </c>
      <c r="AI65" s="428"/>
      <c r="AJ65" s="427">
        <v>-4873</v>
      </c>
      <c r="AK65" s="427">
        <v>-1924</v>
      </c>
      <c r="AL65" s="427">
        <v>-1637</v>
      </c>
      <c r="AM65" s="427">
        <v>-5354</v>
      </c>
      <c r="AN65" s="427">
        <v>-13788</v>
      </c>
      <c r="AO65" s="428"/>
      <c r="AP65" s="427">
        <v>-8356</v>
      </c>
      <c r="AQ65" s="427">
        <v>-10673</v>
      </c>
      <c r="AR65" s="427">
        <v>-11460</v>
      </c>
      <c r="AS65" s="427">
        <v>-12910</v>
      </c>
      <c r="AT65" s="427">
        <v>-43399</v>
      </c>
      <c r="AU65" s="339"/>
    </row>
    <row r="66" spans="1:47" s="206" customFormat="1" ht="15" hidden="1" customHeight="1" outlineLevel="1" x14ac:dyDescent="0.2">
      <c r="A66" s="165" t="str">
        <f>IF(Contents!$A$1=2,"Cost of purchased crude oil outside Russia","Стоимость приобретенной нефти за рубежом")</f>
        <v>Стоимость приобретенной нефти за рубежом</v>
      </c>
      <c r="B66" s="255" t="str">
        <f>IF(Contents!$A$1=2,"mln RUB","млн руб.")</f>
        <v>млн руб.</v>
      </c>
      <c r="C66" s="82"/>
      <c r="D66" s="427">
        <v>0</v>
      </c>
      <c r="E66" s="428"/>
      <c r="F66" s="427">
        <v>0</v>
      </c>
      <c r="G66" s="427">
        <v>0</v>
      </c>
      <c r="H66" s="427">
        <v>0</v>
      </c>
      <c r="I66" s="427">
        <v>0</v>
      </c>
      <c r="J66" s="427">
        <v>0</v>
      </c>
      <c r="K66" s="428"/>
      <c r="L66" s="427">
        <v>-161418</v>
      </c>
      <c r="M66" s="427">
        <v>-200973</v>
      </c>
      <c r="N66" s="427">
        <v>-210263</v>
      </c>
      <c r="O66" s="427">
        <v>-296436</v>
      </c>
      <c r="P66" s="427">
        <v>-869090</v>
      </c>
      <c r="Q66" s="428"/>
      <c r="R66" s="427">
        <v>-289188</v>
      </c>
      <c r="S66" s="427">
        <v>-290491</v>
      </c>
      <c r="T66" s="427">
        <v>-302990</v>
      </c>
      <c r="U66" s="427">
        <v>-432095</v>
      </c>
      <c r="V66" s="427">
        <v>-1314764</v>
      </c>
      <c r="W66" s="428"/>
      <c r="X66" s="427">
        <v>-412283</v>
      </c>
      <c r="Y66" s="427">
        <v>-583337</v>
      </c>
      <c r="Z66" s="427">
        <v>-669158</v>
      </c>
      <c r="AA66" s="427">
        <v>-548686</v>
      </c>
      <c r="AB66" s="427">
        <v>-2213464</v>
      </c>
      <c r="AC66" s="428"/>
      <c r="AD66" s="427">
        <v>-504895</v>
      </c>
      <c r="AE66" s="427">
        <v>-629927</v>
      </c>
      <c r="AF66" s="427">
        <v>-586976</v>
      </c>
      <c r="AG66" s="427">
        <v>-507554</v>
      </c>
      <c r="AH66" s="427">
        <v>-2229352</v>
      </c>
      <c r="AI66" s="428"/>
      <c r="AJ66" s="427">
        <v>-518915</v>
      </c>
      <c r="AK66" s="427">
        <v>-216482</v>
      </c>
      <c r="AL66" s="427">
        <v>-394981</v>
      </c>
      <c r="AM66" s="427">
        <v>-331310</v>
      </c>
      <c r="AN66" s="427">
        <v>-1461688</v>
      </c>
      <c r="AO66" s="428"/>
      <c r="AP66" s="427">
        <v>-454838</v>
      </c>
      <c r="AQ66" s="427">
        <v>-649571</v>
      </c>
      <c r="AR66" s="427">
        <v>-877074</v>
      </c>
      <c r="AS66" s="427">
        <v>-808709</v>
      </c>
      <c r="AT66" s="427">
        <v>-2790192</v>
      </c>
      <c r="AU66" s="339"/>
    </row>
    <row r="67" spans="1:47" s="206" customFormat="1" ht="15" hidden="1" customHeight="1" outlineLevel="1" x14ac:dyDescent="0.2">
      <c r="A67" s="165" t="str">
        <f>IF(Contents!$A$1=2,"Compensation crude oil related to West Qurna-2 project","Стоимость компенсационной нефти по проекту Западная Курна-2")</f>
        <v>Стоимость компенсационной нефти по проекту Западная Курна-2</v>
      </c>
      <c r="B67" s="255" t="str">
        <f>IF(Contents!$A$1=2,"mln RUB","млн руб.")</f>
        <v>млн руб.</v>
      </c>
      <c r="C67" s="82"/>
      <c r="D67" s="427">
        <v>0</v>
      </c>
      <c r="E67" s="428"/>
      <c r="F67" s="427">
        <v>0</v>
      </c>
      <c r="G67" s="427">
        <v>0</v>
      </c>
      <c r="H67" s="427">
        <v>0</v>
      </c>
      <c r="I67" s="427">
        <v>0</v>
      </c>
      <c r="J67" s="427">
        <v>0</v>
      </c>
      <c r="K67" s="428"/>
      <c r="L67" s="427">
        <v>-29476</v>
      </c>
      <c r="M67" s="427">
        <v>-44518</v>
      </c>
      <c r="N67" s="427">
        <v>-45037</v>
      </c>
      <c r="O67" s="427">
        <v>-21361</v>
      </c>
      <c r="P67" s="427">
        <v>-140392</v>
      </c>
      <c r="Q67" s="428"/>
      <c r="R67" s="427">
        <v>-8332</v>
      </c>
      <c r="S67" s="427">
        <v>-5035</v>
      </c>
      <c r="T67" s="427">
        <v>-10775</v>
      </c>
      <c r="U67" s="427">
        <v>-9049</v>
      </c>
      <c r="V67" s="427">
        <v>-33191</v>
      </c>
      <c r="W67" s="428"/>
      <c r="X67" s="427">
        <v>-6889</v>
      </c>
      <c r="Y67" s="427">
        <v>-21146</v>
      </c>
      <c r="Z67" s="427">
        <v>-14180</v>
      </c>
      <c r="AA67" s="427">
        <v>-10602</v>
      </c>
      <c r="AB67" s="427">
        <v>-52817</v>
      </c>
      <c r="AC67" s="428"/>
      <c r="AD67" s="427">
        <v>-7625</v>
      </c>
      <c r="AE67" s="427">
        <v>-7860</v>
      </c>
      <c r="AF67" s="427">
        <v>-10399</v>
      </c>
      <c r="AG67" s="427">
        <v>-10341</v>
      </c>
      <c r="AH67" s="427">
        <v>-36225</v>
      </c>
      <c r="AI67" s="428"/>
      <c r="AJ67" s="427">
        <v>-8300</v>
      </c>
      <c r="AK67" s="427">
        <v>-7941</v>
      </c>
      <c r="AL67" s="427">
        <v>-17193</v>
      </c>
      <c r="AM67" s="427">
        <v>-11994</v>
      </c>
      <c r="AN67" s="427">
        <v>-45428</v>
      </c>
      <c r="AO67" s="428"/>
      <c r="AP67" s="427">
        <v>-13995</v>
      </c>
      <c r="AQ67" s="427">
        <v>-23506</v>
      </c>
      <c r="AR67" s="427">
        <v>-20314</v>
      </c>
      <c r="AS67" s="427">
        <v>-11422</v>
      </c>
      <c r="AT67" s="427">
        <v>-69237</v>
      </c>
      <c r="AU67" s="339"/>
    </row>
    <row r="68" spans="1:47" s="206" customFormat="1" ht="15" hidden="1" customHeight="1" outlineLevel="1" x14ac:dyDescent="0.2">
      <c r="A68" s="184" t="str">
        <f>IF(Contents!$A$1=2,"Cost of purchased refined products","Итого стоимость приобретенных нефтепродуктов")</f>
        <v>Итого стоимость приобретенных нефтепродуктов</v>
      </c>
      <c r="B68" s="258" t="str">
        <f>IF(Contents!$A$1=2,"mln RUB","млн руб.")</f>
        <v>млн руб.</v>
      </c>
      <c r="C68" s="82"/>
      <c r="D68" s="460">
        <v>0</v>
      </c>
      <c r="E68" s="482"/>
      <c r="F68" s="460">
        <v>0</v>
      </c>
      <c r="G68" s="460">
        <v>0</v>
      </c>
      <c r="H68" s="460">
        <v>0</v>
      </c>
      <c r="I68" s="460">
        <v>0</v>
      </c>
      <c r="J68" s="460">
        <v>0</v>
      </c>
      <c r="K68" s="482"/>
      <c r="L68" s="460">
        <v>-356296</v>
      </c>
      <c r="M68" s="460">
        <v>-447844</v>
      </c>
      <c r="N68" s="460">
        <v>-375995</v>
      </c>
      <c r="O68" s="460">
        <v>-434666</v>
      </c>
      <c r="P68" s="460">
        <v>-1614801</v>
      </c>
      <c r="Q68" s="482"/>
      <c r="R68" s="460">
        <v>-454423</v>
      </c>
      <c r="S68" s="460">
        <v>-390559</v>
      </c>
      <c r="T68" s="460">
        <v>-412566</v>
      </c>
      <c r="U68" s="460">
        <v>-452805</v>
      </c>
      <c r="V68" s="460">
        <v>-1710353</v>
      </c>
      <c r="W68" s="469"/>
      <c r="X68" s="460">
        <v>-458186</v>
      </c>
      <c r="Y68" s="460">
        <v>-537685</v>
      </c>
      <c r="Z68" s="460">
        <v>-575636</v>
      </c>
      <c r="AA68" s="460">
        <v>-546395</v>
      </c>
      <c r="AB68" s="460">
        <v>-2117902</v>
      </c>
      <c r="AC68" s="469"/>
      <c r="AD68" s="460">
        <v>-492215</v>
      </c>
      <c r="AE68" s="460">
        <v>-519518</v>
      </c>
      <c r="AF68" s="460">
        <v>-476307</v>
      </c>
      <c r="AG68" s="460">
        <v>-479817</v>
      </c>
      <c r="AH68" s="460">
        <v>-1967857</v>
      </c>
      <c r="AI68" s="469"/>
      <c r="AJ68" s="460">
        <v>-391225</v>
      </c>
      <c r="AK68" s="460">
        <v>-236362</v>
      </c>
      <c r="AL68" s="460">
        <v>-356679</v>
      </c>
      <c r="AM68" s="460">
        <v>-467003</v>
      </c>
      <c r="AN68" s="460">
        <v>-1451269</v>
      </c>
      <c r="AO68" s="469"/>
      <c r="AP68" s="460">
        <v>-501748</v>
      </c>
      <c r="AQ68" s="460">
        <v>-518535</v>
      </c>
      <c r="AR68" s="460">
        <v>-619649</v>
      </c>
      <c r="AS68" s="460">
        <v>-730407</v>
      </c>
      <c r="AT68" s="460">
        <v>-2370339</v>
      </c>
      <c r="AU68" s="340"/>
    </row>
    <row r="69" spans="1:47" s="206" customFormat="1" ht="15" hidden="1" customHeight="1" outlineLevel="1" x14ac:dyDescent="0.2">
      <c r="A69" s="165" t="str">
        <f>IF(Contents!$A$1=2,"Cost of purchased refined products in Russia","Стоимость приобретенных нефтепродуктов в России")</f>
        <v>Стоимость приобретенных нефтепродуктов в России</v>
      </c>
      <c r="B69" s="255" t="str">
        <f>IF(Contents!$A$1=2,"mln RUB","млн руб.")</f>
        <v>млн руб.</v>
      </c>
      <c r="C69" s="82"/>
      <c r="D69" s="427">
        <v>0</v>
      </c>
      <c r="E69" s="428"/>
      <c r="F69" s="427">
        <v>0</v>
      </c>
      <c r="G69" s="427">
        <v>0</v>
      </c>
      <c r="H69" s="427">
        <v>0</v>
      </c>
      <c r="I69" s="427">
        <v>0</v>
      </c>
      <c r="J69" s="427">
        <v>0</v>
      </c>
      <c r="K69" s="428"/>
      <c r="L69" s="427">
        <v>-9750</v>
      </c>
      <c r="M69" s="427">
        <v>-10928</v>
      </c>
      <c r="N69" s="427">
        <v>-15231</v>
      </c>
      <c r="O69" s="427">
        <v>-9526</v>
      </c>
      <c r="P69" s="427">
        <v>-45435</v>
      </c>
      <c r="Q69" s="428"/>
      <c r="R69" s="427">
        <v>-12577</v>
      </c>
      <c r="S69" s="427">
        <v>-14946</v>
      </c>
      <c r="T69" s="427">
        <v>-12530</v>
      </c>
      <c r="U69" s="427">
        <v>-10339</v>
      </c>
      <c r="V69" s="427">
        <v>-50392</v>
      </c>
      <c r="W69" s="428"/>
      <c r="X69" s="427">
        <v>-12181</v>
      </c>
      <c r="Y69" s="427">
        <v>-9559</v>
      </c>
      <c r="Z69" s="427">
        <v>-13686</v>
      </c>
      <c r="AA69" s="427">
        <v>-14750</v>
      </c>
      <c r="AB69" s="427">
        <v>-50176</v>
      </c>
      <c r="AC69" s="428"/>
      <c r="AD69" s="427">
        <v>-9273</v>
      </c>
      <c r="AE69" s="427">
        <v>-8672</v>
      </c>
      <c r="AF69" s="427">
        <v>-10101</v>
      </c>
      <c r="AG69" s="427">
        <v>-9100</v>
      </c>
      <c r="AH69" s="427">
        <v>-37146</v>
      </c>
      <c r="AI69" s="428"/>
      <c r="AJ69" s="427">
        <v>-10920</v>
      </c>
      <c r="AK69" s="427">
        <v>-4704</v>
      </c>
      <c r="AL69" s="427">
        <v>-5573</v>
      </c>
      <c r="AM69" s="427">
        <v>-9846</v>
      </c>
      <c r="AN69" s="427">
        <v>-31043</v>
      </c>
      <c r="AO69" s="428"/>
      <c r="AP69" s="427">
        <v>-10469</v>
      </c>
      <c r="AQ69" s="427">
        <v>-10748</v>
      </c>
      <c r="AR69" s="427">
        <v>-14205</v>
      </c>
      <c r="AS69" s="427">
        <v>-13824</v>
      </c>
      <c r="AT69" s="427">
        <v>-49246</v>
      </c>
      <c r="AU69" s="339"/>
    </row>
    <row r="70" spans="1:47" s="206" customFormat="1" ht="15" hidden="1" customHeight="1" outlineLevel="1" x14ac:dyDescent="0.2">
      <c r="A70" s="165" t="str">
        <f>IF(Contents!$A$1=2,"Cost of purchased refined products outside Russia","Стоимость приобретенных нефтепродуктов за рубежом")</f>
        <v>Стоимость приобретенных нефтепродуктов за рубежом</v>
      </c>
      <c r="B70" s="255" t="str">
        <f>IF(Contents!$A$1=2,"mln RUB","млн руб.")</f>
        <v>млн руб.</v>
      </c>
      <c r="C70" s="82"/>
      <c r="D70" s="427">
        <v>0</v>
      </c>
      <c r="E70" s="428"/>
      <c r="F70" s="427">
        <v>0</v>
      </c>
      <c r="G70" s="427">
        <v>0</v>
      </c>
      <c r="H70" s="427">
        <v>0</v>
      </c>
      <c r="I70" s="427">
        <v>0</v>
      </c>
      <c r="J70" s="427">
        <v>0</v>
      </c>
      <c r="K70" s="428"/>
      <c r="L70" s="427">
        <v>-346546</v>
      </c>
      <c r="M70" s="427">
        <v>-436916</v>
      </c>
      <c r="N70" s="427">
        <v>-360764</v>
      </c>
      <c r="O70" s="427">
        <v>-425140</v>
      </c>
      <c r="P70" s="427">
        <v>-1569366</v>
      </c>
      <c r="Q70" s="428"/>
      <c r="R70" s="427">
        <v>-441846</v>
      </c>
      <c r="S70" s="427">
        <v>-375613</v>
      </c>
      <c r="T70" s="427">
        <v>-400036</v>
      </c>
      <c r="U70" s="427">
        <v>-442466</v>
      </c>
      <c r="V70" s="427">
        <v>-1659961</v>
      </c>
      <c r="W70" s="428"/>
      <c r="X70" s="427">
        <v>-446005</v>
      </c>
      <c r="Y70" s="427">
        <v>-528126</v>
      </c>
      <c r="Z70" s="427">
        <v>-561950</v>
      </c>
      <c r="AA70" s="427">
        <v>-531645</v>
      </c>
      <c r="AB70" s="427">
        <v>-2067726</v>
      </c>
      <c r="AC70" s="428"/>
      <c r="AD70" s="427">
        <v>-482942</v>
      </c>
      <c r="AE70" s="427">
        <v>-510846</v>
      </c>
      <c r="AF70" s="427">
        <v>-466206</v>
      </c>
      <c r="AG70" s="427">
        <v>-470717</v>
      </c>
      <c r="AH70" s="427">
        <v>-1930711</v>
      </c>
      <c r="AI70" s="428"/>
      <c r="AJ70" s="427">
        <v>-380305</v>
      </c>
      <c r="AK70" s="427">
        <v>-231658</v>
      </c>
      <c r="AL70" s="427">
        <v>-351106</v>
      </c>
      <c r="AM70" s="427">
        <v>-457157</v>
      </c>
      <c r="AN70" s="427">
        <v>-1420226</v>
      </c>
      <c r="AO70" s="428"/>
      <c r="AP70" s="427">
        <v>-491279</v>
      </c>
      <c r="AQ70" s="427">
        <v>-507787</v>
      </c>
      <c r="AR70" s="427">
        <v>-605444</v>
      </c>
      <c r="AS70" s="427">
        <v>-716583</v>
      </c>
      <c r="AT70" s="427">
        <v>-2321093</v>
      </c>
      <c r="AU70" s="339"/>
    </row>
    <row r="71" spans="1:47" s="206" customFormat="1" ht="15" hidden="1" customHeight="1" outlineLevel="1" x14ac:dyDescent="0.2">
      <c r="A71" s="403" t="str">
        <f>IF(Contents!$A$1=2,"Other purchases","Прочие закупки")</f>
        <v>Прочие закупки</v>
      </c>
      <c r="B71" s="255" t="str">
        <f>IF(Contents!$A$1=2,"mln RUB","млн руб.")</f>
        <v>млн руб.</v>
      </c>
      <c r="C71" s="82"/>
      <c r="D71" s="427">
        <v>0</v>
      </c>
      <c r="E71" s="428"/>
      <c r="F71" s="427">
        <v>0</v>
      </c>
      <c r="G71" s="427">
        <v>0</v>
      </c>
      <c r="H71" s="427">
        <v>0</v>
      </c>
      <c r="I71" s="427">
        <v>0</v>
      </c>
      <c r="J71" s="427">
        <v>0</v>
      </c>
      <c r="K71" s="428"/>
      <c r="L71" s="427">
        <v>-9301</v>
      </c>
      <c r="M71" s="427">
        <v>-5684</v>
      </c>
      <c r="N71" s="427">
        <v>-5117</v>
      </c>
      <c r="O71" s="427">
        <v>-9005</v>
      </c>
      <c r="P71" s="427">
        <v>-29107</v>
      </c>
      <c r="Q71" s="428"/>
      <c r="R71" s="427">
        <v>-12049</v>
      </c>
      <c r="S71" s="427">
        <v>-7810</v>
      </c>
      <c r="T71" s="427">
        <v>-7176</v>
      </c>
      <c r="U71" s="427">
        <v>-14600</v>
      </c>
      <c r="V71" s="427">
        <v>-41635</v>
      </c>
      <c r="W71" s="428"/>
      <c r="X71" s="427">
        <v>-14426</v>
      </c>
      <c r="Y71" s="427">
        <v>-12559</v>
      </c>
      <c r="Z71" s="427">
        <v>-12437</v>
      </c>
      <c r="AA71" s="427">
        <v>-21476</v>
      </c>
      <c r="AB71" s="427">
        <v>-60898</v>
      </c>
      <c r="AC71" s="428"/>
      <c r="AD71" s="427">
        <v>-31375</v>
      </c>
      <c r="AE71" s="427">
        <v>-19305</v>
      </c>
      <c r="AF71" s="427">
        <v>-15871</v>
      </c>
      <c r="AG71" s="427">
        <v>-15606</v>
      </c>
      <c r="AH71" s="427">
        <v>-82157</v>
      </c>
      <c r="AI71" s="428"/>
      <c r="AJ71" s="427">
        <v>-16494</v>
      </c>
      <c r="AK71" s="427">
        <v>-11498</v>
      </c>
      <c r="AL71" s="427">
        <v>-11767</v>
      </c>
      <c r="AM71" s="427">
        <v>-24380</v>
      </c>
      <c r="AN71" s="427">
        <v>-64139</v>
      </c>
      <c r="AO71" s="428"/>
      <c r="AP71" s="427">
        <v>-30148</v>
      </c>
      <c r="AQ71" s="427">
        <v>-28542</v>
      </c>
      <c r="AR71" s="427">
        <v>-37785</v>
      </c>
      <c r="AS71" s="427">
        <v>-36335</v>
      </c>
      <c r="AT71" s="427">
        <v>-132810</v>
      </c>
      <c r="AU71" s="339"/>
    </row>
    <row r="72" spans="1:47" s="206" customFormat="1" ht="15" hidden="1" customHeight="1" outlineLevel="1" x14ac:dyDescent="0.2">
      <c r="A72" s="403" t="str">
        <f>IF(Contents!$A$1=2,"(Net gain)/loss from hedging of trading operations","(Прибыль) убыток от хеджирования торговых операций")</f>
        <v>(Прибыль) убыток от хеджирования торговых операций</v>
      </c>
      <c r="B72" s="255" t="str">
        <f>IF(Contents!$A$1=2,"mln RUB","млн руб.")</f>
        <v>млн руб.</v>
      </c>
      <c r="C72" s="82"/>
      <c r="D72" s="427">
        <v>0</v>
      </c>
      <c r="E72" s="428"/>
      <c r="F72" s="427">
        <v>0</v>
      </c>
      <c r="G72" s="427">
        <v>0</v>
      </c>
      <c r="H72" s="427">
        <v>0</v>
      </c>
      <c r="I72" s="427">
        <v>0</v>
      </c>
      <c r="J72" s="427">
        <v>0</v>
      </c>
      <c r="K72" s="428"/>
      <c r="L72" s="427">
        <v>1228</v>
      </c>
      <c r="M72" s="427">
        <v>-35572</v>
      </c>
      <c r="N72" s="427">
        <v>2830</v>
      </c>
      <c r="O72" s="427">
        <v>-28973</v>
      </c>
      <c r="P72" s="427">
        <v>-60487</v>
      </c>
      <c r="Q72" s="428"/>
      <c r="R72" s="427">
        <v>24140</v>
      </c>
      <c r="S72" s="427">
        <v>13467</v>
      </c>
      <c r="T72" s="427">
        <v>-23727</v>
      </c>
      <c r="U72" s="427">
        <v>-29789</v>
      </c>
      <c r="V72" s="427">
        <v>-15909</v>
      </c>
      <c r="W72" s="428"/>
      <c r="X72" s="427">
        <v>-6639</v>
      </c>
      <c r="Y72" s="427">
        <v>-28452</v>
      </c>
      <c r="Z72" s="427">
        <v>-10021</v>
      </c>
      <c r="AA72" s="427">
        <v>67020</v>
      </c>
      <c r="AB72" s="427">
        <v>21908</v>
      </c>
      <c r="AC72" s="428"/>
      <c r="AD72" s="427">
        <v>-48140</v>
      </c>
      <c r="AE72" s="427">
        <v>3855</v>
      </c>
      <c r="AF72" s="427">
        <v>11370</v>
      </c>
      <c r="AG72" s="427">
        <v>-28418</v>
      </c>
      <c r="AH72" s="427">
        <v>-61333</v>
      </c>
      <c r="AI72" s="428"/>
      <c r="AJ72" s="427">
        <v>129641</v>
      </c>
      <c r="AK72" s="427">
        <v>-15493</v>
      </c>
      <c r="AL72" s="427">
        <v>3690</v>
      </c>
      <c r="AM72" s="427">
        <v>-38224</v>
      </c>
      <c r="AN72" s="427">
        <v>79614</v>
      </c>
      <c r="AO72" s="428"/>
      <c r="AP72" s="427">
        <v>-47303</v>
      </c>
      <c r="AQ72" s="427">
        <v>-9437</v>
      </c>
      <c r="AR72" s="427">
        <v>-21238</v>
      </c>
      <c r="AS72" s="427">
        <v>-9950</v>
      </c>
      <c r="AT72" s="427">
        <v>-87928</v>
      </c>
      <c r="AU72" s="339"/>
    </row>
    <row r="73" spans="1:47" s="206" customFormat="1" ht="15" hidden="1" customHeight="1" outlineLevel="1" x14ac:dyDescent="0.2">
      <c r="A73" s="403" t="str">
        <f>IF(Contents!$A$1=2,"Change in crude oil and petroleum products inventory","Изменение запасов")</f>
        <v>Изменение запасов</v>
      </c>
      <c r="B73" s="255" t="str">
        <f>IF(Contents!$A$1=2,"mln RUB","млн руб.")</f>
        <v>млн руб.</v>
      </c>
      <c r="C73" s="82"/>
      <c r="D73" s="427">
        <v>0</v>
      </c>
      <c r="E73" s="428"/>
      <c r="F73" s="427">
        <v>0</v>
      </c>
      <c r="G73" s="427">
        <v>0</v>
      </c>
      <c r="H73" s="427">
        <v>0</v>
      </c>
      <c r="I73" s="427">
        <v>0</v>
      </c>
      <c r="J73" s="427">
        <v>0</v>
      </c>
      <c r="K73" s="428"/>
      <c r="L73" s="427">
        <v>19903</v>
      </c>
      <c r="M73" s="427">
        <v>60584</v>
      </c>
      <c r="N73" s="427">
        <v>-18119</v>
      </c>
      <c r="O73" s="427">
        <v>53791</v>
      </c>
      <c r="P73" s="427">
        <v>116159</v>
      </c>
      <c r="Q73" s="428"/>
      <c r="R73" s="427">
        <v>1490</v>
      </c>
      <c r="S73" s="427">
        <v>-16564</v>
      </c>
      <c r="T73" s="427">
        <v>-21645</v>
      </c>
      <c r="U73" s="427">
        <v>39603</v>
      </c>
      <c r="V73" s="427">
        <v>2884</v>
      </c>
      <c r="W73" s="428"/>
      <c r="X73" s="427">
        <v>11615</v>
      </c>
      <c r="Y73" s="427">
        <v>205</v>
      </c>
      <c r="Z73" s="427">
        <v>-35830</v>
      </c>
      <c r="AA73" s="427">
        <v>-65603</v>
      </c>
      <c r="AB73" s="427">
        <v>-89613</v>
      </c>
      <c r="AC73" s="428"/>
      <c r="AD73" s="427">
        <v>101035</v>
      </c>
      <c r="AE73" s="427">
        <v>-32953</v>
      </c>
      <c r="AF73" s="427">
        <v>32019</v>
      </c>
      <c r="AG73" s="427">
        <v>-13127</v>
      </c>
      <c r="AH73" s="427">
        <v>86974</v>
      </c>
      <c r="AI73" s="428"/>
      <c r="AJ73" s="427">
        <v>-161509</v>
      </c>
      <c r="AK73" s="427">
        <v>94730</v>
      </c>
      <c r="AL73" s="427">
        <v>-12093</v>
      </c>
      <c r="AM73" s="427">
        <v>34654</v>
      </c>
      <c r="AN73" s="427">
        <v>-44218</v>
      </c>
      <c r="AO73" s="428"/>
      <c r="AP73" s="427">
        <v>27263</v>
      </c>
      <c r="AQ73" s="427">
        <v>25881</v>
      </c>
      <c r="AR73" s="427">
        <v>13350</v>
      </c>
      <c r="AS73" s="427">
        <v>-57413</v>
      </c>
      <c r="AT73" s="427">
        <v>9081</v>
      </c>
      <c r="AU73" s="339"/>
    </row>
    <row r="74" spans="1:47" ht="15" customHeight="1" collapsed="1" x14ac:dyDescent="0.2">
      <c r="A74" s="100" t="str">
        <f>IF(Contents!$A$1=2,"Transportation expenses","Транспортные расходы")</f>
        <v>Транспортные расходы</v>
      </c>
      <c r="B74" s="250" t="str">
        <f>IF(Contents!$A$1=2,"mln RUB","млн руб.")</f>
        <v>млн руб.</v>
      </c>
      <c r="C74" s="82"/>
      <c r="D74" s="474">
        <v>-215198</v>
      </c>
      <c r="E74" s="470"/>
      <c r="F74" s="474">
        <v>-78785</v>
      </c>
      <c r="G74" s="474">
        <v>-68377</v>
      </c>
      <c r="H74" s="474">
        <v>-71371</v>
      </c>
      <c r="I74" s="474">
        <v>-79444</v>
      </c>
      <c r="J74" s="474">
        <v>-297977</v>
      </c>
      <c r="K74" s="470"/>
      <c r="L74" s="474">
        <v>-86699</v>
      </c>
      <c r="M74" s="474">
        <v>-77665</v>
      </c>
      <c r="N74" s="474">
        <v>-71169</v>
      </c>
      <c r="O74" s="474">
        <v>-63484</v>
      </c>
      <c r="P74" s="474">
        <v>-299017</v>
      </c>
      <c r="Q74" s="470"/>
      <c r="R74" s="474">
        <v>-73714</v>
      </c>
      <c r="S74" s="474">
        <v>-67516</v>
      </c>
      <c r="T74" s="474">
        <v>-62980</v>
      </c>
      <c r="U74" s="474">
        <v>-68582</v>
      </c>
      <c r="V74" s="474">
        <v>-272792</v>
      </c>
      <c r="W74" s="470"/>
      <c r="X74" s="474">
        <v>-66055</v>
      </c>
      <c r="Y74" s="474">
        <v>-68207</v>
      </c>
      <c r="Z74" s="474">
        <v>-70624</v>
      </c>
      <c r="AA74" s="474">
        <v>-65267</v>
      </c>
      <c r="AB74" s="474">
        <v>-270153</v>
      </c>
      <c r="AC74" s="470"/>
      <c r="AD74" s="474">
        <v>-73222</v>
      </c>
      <c r="AE74" s="474">
        <v>-64032</v>
      </c>
      <c r="AF74" s="474">
        <v>-67349</v>
      </c>
      <c r="AG74" s="474">
        <v>-74195</v>
      </c>
      <c r="AH74" s="474">
        <v>-278798</v>
      </c>
      <c r="AI74" s="470"/>
      <c r="AJ74" s="474">
        <v>-80059</v>
      </c>
      <c r="AK74" s="474">
        <v>-79559</v>
      </c>
      <c r="AL74" s="474">
        <v>-61388</v>
      </c>
      <c r="AM74" s="474">
        <v>-71893</v>
      </c>
      <c r="AN74" s="474">
        <v>-292899</v>
      </c>
      <c r="AO74" s="470"/>
      <c r="AP74" s="474">
        <v>-68018</v>
      </c>
      <c r="AQ74" s="474">
        <v>-75112</v>
      </c>
      <c r="AR74" s="474">
        <v>-70906</v>
      </c>
      <c r="AS74" s="474">
        <v>-77099</v>
      </c>
      <c r="AT74" s="474">
        <v>-291135</v>
      </c>
      <c r="AU74" s="211"/>
    </row>
    <row r="75" spans="1:47" s="162" customFormat="1" ht="15" hidden="1" customHeight="1" outlineLevel="1" x14ac:dyDescent="0.2">
      <c r="A75" s="168" t="str">
        <f>IF(Contents!$A$1=2,"Crude oil transportation expenses","Затраты на транспортировку нефти")</f>
        <v>Затраты на транспортировку нефти</v>
      </c>
      <c r="B75" s="255" t="str">
        <f>IF(Contents!$A$1=2,"mln RUB","млн руб.")</f>
        <v>млн руб.</v>
      </c>
      <c r="C75" s="169"/>
      <c r="D75" s="428">
        <v>-59728</v>
      </c>
      <c r="E75" s="428"/>
      <c r="F75" s="428">
        <v>-24507</v>
      </c>
      <c r="G75" s="428">
        <v>-21575</v>
      </c>
      <c r="H75" s="428">
        <v>-20063</v>
      </c>
      <c r="I75" s="428">
        <v>-25106</v>
      </c>
      <c r="J75" s="428">
        <v>-91251</v>
      </c>
      <c r="K75" s="428"/>
      <c r="L75" s="427">
        <v>-24547</v>
      </c>
      <c r="M75" s="427">
        <v>-25070</v>
      </c>
      <c r="N75" s="427">
        <v>-20290</v>
      </c>
      <c r="O75" s="427">
        <v>-21721</v>
      </c>
      <c r="P75" s="427">
        <v>-91628</v>
      </c>
      <c r="Q75" s="428" t="e">
        <v>#N/A</v>
      </c>
      <c r="R75" s="427">
        <v>-24866</v>
      </c>
      <c r="S75" s="427">
        <v>-21607</v>
      </c>
      <c r="T75" s="427">
        <v>-19891</v>
      </c>
      <c r="U75" s="419">
        <v>-25271</v>
      </c>
      <c r="V75" s="419">
        <v>-97247</v>
      </c>
      <c r="W75" s="431"/>
      <c r="X75" s="427">
        <v>-21626</v>
      </c>
      <c r="Y75" s="427">
        <v>-25697</v>
      </c>
      <c r="Z75" s="427">
        <v>-24889</v>
      </c>
      <c r="AA75" s="419">
        <v>-23701</v>
      </c>
      <c r="AB75" s="419">
        <v>-95913</v>
      </c>
      <c r="AC75" s="431"/>
      <c r="AD75" s="419">
        <v>-28090</v>
      </c>
      <c r="AE75" s="419">
        <v>-21550</v>
      </c>
      <c r="AF75" s="419">
        <v>-23633</v>
      </c>
      <c r="AG75" s="419">
        <v>-25133</v>
      </c>
      <c r="AH75" s="419">
        <v>-98406</v>
      </c>
      <c r="AI75" s="431"/>
      <c r="AJ75" s="419">
        <v>-29273</v>
      </c>
      <c r="AK75" s="419">
        <v>-33052</v>
      </c>
      <c r="AL75" s="419">
        <v>-21562</v>
      </c>
      <c r="AM75" s="419">
        <v>-23260</v>
      </c>
      <c r="AN75" s="419">
        <v>-107147</v>
      </c>
      <c r="AO75" s="431"/>
      <c r="AP75" s="419">
        <v>-21939</v>
      </c>
      <c r="AQ75" s="419">
        <v>-22947</v>
      </c>
      <c r="AR75" s="419">
        <v>-21147</v>
      </c>
      <c r="AS75" s="419">
        <v>-27254</v>
      </c>
      <c r="AT75" s="419">
        <v>-93287</v>
      </c>
      <c r="AU75" s="211"/>
    </row>
    <row r="76" spans="1:47" s="162" customFormat="1" ht="15" hidden="1" customHeight="1" outlineLevel="1" x14ac:dyDescent="0.2">
      <c r="A76" s="354" t="str">
        <f>IF(Contents!$A$1=2,"in Russia","в России")</f>
        <v>в России</v>
      </c>
      <c r="B76" s="255" t="str">
        <f>IF(Contents!$A$1=2,"mln RUB","млн руб.")</f>
        <v>млн руб.</v>
      </c>
      <c r="C76" s="169"/>
      <c r="D76" s="428">
        <v>0</v>
      </c>
      <c r="E76" s="428"/>
      <c r="F76" s="428">
        <v>0</v>
      </c>
      <c r="G76" s="428">
        <v>0</v>
      </c>
      <c r="H76" s="428">
        <v>0</v>
      </c>
      <c r="I76" s="428">
        <v>0</v>
      </c>
      <c r="J76" s="428">
        <v>0</v>
      </c>
      <c r="K76" s="428"/>
      <c r="L76" s="427">
        <v>0</v>
      </c>
      <c r="M76" s="427">
        <v>0</v>
      </c>
      <c r="N76" s="427">
        <v>0</v>
      </c>
      <c r="O76" s="427">
        <v>0</v>
      </c>
      <c r="P76" s="427">
        <v>0</v>
      </c>
      <c r="Q76" s="428"/>
      <c r="R76" s="427">
        <v>0</v>
      </c>
      <c r="S76" s="427">
        <v>0</v>
      </c>
      <c r="T76" s="427">
        <v>0</v>
      </c>
      <c r="U76" s="419">
        <v>0</v>
      </c>
      <c r="V76" s="419">
        <v>0</v>
      </c>
      <c r="W76" s="431"/>
      <c r="X76" s="427">
        <v>0</v>
      </c>
      <c r="Y76" s="427">
        <v>0</v>
      </c>
      <c r="Z76" s="427">
        <v>0</v>
      </c>
      <c r="AA76" s="419">
        <v>0</v>
      </c>
      <c r="AB76" s="419">
        <v>0</v>
      </c>
      <c r="AC76" s="431"/>
      <c r="AD76" s="419">
        <v>-13456</v>
      </c>
      <c r="AE76" s="419">
        <v>-11307</v>
      </c>
      <c r="AF76" s="419">
        <v>-10261</v>
      </c>
      <c r="AG76" s="419">
        <v>-11922</v>
      </c>
      <c r="AH76" s="419">
        <v>-46946</v>
      </c>
      <c r="AI76" s="431"/>
      <c r="AJ76" s="419">
        <v>-11811</v>
      </c>
      <c r="AK76" s="419">
        <v>-11974</v>
      </c>
      <c r="AL76" s="419">
        <v>-10938</v>
      </c>
      <c r="AM76" s="419">
        <v>-11387</v>
      </c>
      <c r="AN76" s="419">
        <v>-46110</v>
      </c>
      <c r="AO76" s="431"/>
      <c r="AP76" s="419">
        <v>-10739</v>
      </c>
      <c r="AQ76" s="419">
        <v>-13309</v>
      </c>
      <c r="AR76" s="419">
        <v>-12640</v>
      </c>
      <c r="AS76" s="419">
        <v>-15745</v>
      </c>
      <c r="AT76" s="419">
        <v>-52433</v>
      </c>
      <c r="AU76" s="211"/>
    </row>
    <row r="77" spans="1:47" s="162" customFormat="1" ht="15" hidden="1" customHeight="1" outlineLevel="1" x14ac:dyDescent="0.2">
      <c r="A77" s="354" t="str">
        <f>IF(Contents!$A$1=2,"outside Russia","за рубежом")</f>
        <v>за рубежом</v>
      </c>
      <c r="B77" s="255" t="str">
        <f>IF(Contents!$A$1=2,"mln RUB","млн руб.")</f>
        <v>млн руб.</v>
      </c>
      <c r="C77" s="169"/>
      <c r="D77" s="428">
        <v>0</v>
      </c>
      <c r="E77" s="428"/>
      <c r="F77" s="428">
        <v>0</v>
      </c>
      <c r="G77" s="428">
        <v>0</v>
      </c>
      <c r="H77" s="428">
        <v>0</v>
      </c>
      <c r="I77" s="428">
        <v>0</v>
      </c>
      <c r="J77" s="428">
        <v>0</v>
      </c>
      <c r="K77" s="428"/>
      <c r="L77" s="427">
        <v>0</v>
      </c>
      <c r="M77" s="427">
        <v>0</v>
      </c>
      <c r="N77" s="427">
        <v>0</v>
      </c>
      <c r="O77" s="427">
        <v>0</v>
      </c>
      <c r="P77" s="427">
        <v>0</v>
      </c>
      <c r="Q77" s="428"/>
      <c r="R77" s="427">
        <v>0</v>
      </c>
      <c r="S77" s="427">
        <v>0</v>
      </c>
      <c r="T77" s="427">
        <v>0</v>
      </c>
      <c r="U77" s="419">
        <v>0</v>
      </c>
      <c r="V77" s="419">
        <v>0</v>
      </c>
      <c r="W77" s="431"/>
      <c r="X77" s="427">
        <v>0</v>
      </c>
      <c r="Y77" s="427">
        <v>0</v>
      </c>
      <c r="Z77" s="427">
        <v>0</v>
      </c>
      <c r="AA77" s="419">
        <v>0</v>
      </c>
      <c r="AB77" s="419">
        <v>0</v>
      </c>
      <c r="AC77" s="431"/>
      <c r="AD77" s="419">
        <v>-14634</v>
      </c>
      <c r="AE77" s="419">
        <v>-10243</v>
      </c>
      <c r="AF77" s="419">
        <v>-13372</v>
      </c>
      <c r="AG77" s="419">
        <v>-13211</v>
      </c>
      <c r="AH77" s="419">
        <v>-51460</v>
      </c>
      <c r="AI77" s="431"/>
      <c r="AJ77" s="419">
        <v>-17462</v>
      </c>
      <c r="AK77" s="419">
        <v>-21078</v>
      </c>
      <c r="AL77" s="419">
        <v>-10624</v>
      </c>
      <c r="AM77" s="419">
        <v>-11873</v>
      </c>
      <c r="AN77" s="419">
        <v>-61037</v>
      </c>
      <c r="AO77" s="431"/>
      <c r="AP77" s="419">
        <v>-11200</v>
      </c>
      <c r="AQ77" s="419">
        <v>-9638</v>
      </c>
      <c r="AR77" s="419">
        <v>-8507</v>
      </c>
      <c r="AS77" s="419">
        <v>-11509</v>
      </c>
      <c r="AT77" s="419">
        <v>-40854</v>
      </c>
      <c r="AU77" s="211"/>
    </row>
    <row r="78" spans="1:47" s="162" customFormat="1" ht="15" hidden="1" customHeight="1" outlineLevel="1" x14ac:dyDescent="0.2">
      <c r="A78" s="168" t="str">
        <f>IF(Contents!$A$1=2,"Refined products transportation expenses","Затраты на транспортировку нефтепродуктов")</f>
        <v>Затраты на транспортировку нефтепродуктов</v>
      </c>
      <c r="B78" s="255" t="str">
        <f>IF(Contents!$A$1=2,"mln RUB","млн руб.")</f>
        <v>млн руб.</v>
      </c>
      <c r="C78" s="169"/>
      <c r="D78" s="428">
        <v>-141446</v>
      </c>
      <c r="E78" s="428"/>
      <c r="F78" s="428">
        <v>-50117</v>
      </c>
      <c r="G78" s="428">
        <v>-41968</v>
      </c>
      <c r="H78" s="428">
        <v>-46576</v>
      </c>
      <c r="I78" s="428">
        <v>-48019</v>
      </c>
      <c r="J78" s="428">
        <v>-186680</v>
      </c>
      <c r="K78" s="428"/>
      <c r="L78" s="427">
        <v>-58457</v>
      </c>
      <c r="M78" s="427">
        <v>-47149</v>
      </c>
      <c r="N78" s="427">
        <v>-44551</v>
      </c>
      <c r="O78" s="427">
        <v>-39248</v>
      </c>
      <c r="P78" s="427">
        <v>-189405</v>
      </c>
      <c r="Q78" s="428" t="e">
        <v>#N/A</v>
      </c>
      <c r="R78" s="427">
        <v>-43783</v>
      </c>
      <c r="S78" s="427">
        <v>-41572</v>
      </c>
      <c r="T78" s="427">
        <v>-37941</v>
      </c>
      <c r="U78" s="419">
        <v>-39874</v>
      </c>
      <c r="V78" s="419">
        <v>-158196</v>
      </c>
      <c r="W78" s="431"/>
      <c r="X78" s="427">
        <v>-39956</v>
      </c>
      <c r="Y78" s="427">
        <v>-37784</v>
      </c>
      <c r="Z78" s="427">
        <v>-40692</v>
      </c>
      <c r="AA78" s="419">
        <v>-42540</v>
      </c>
      <c r="AB78" s="419">
        <v>-160972</v>
      </c>
      <c r="AC78" s="431"/>
      <c r="AD78" s="419">
        <v>-41630</v>
      </c>
      <c r="AE78" s="419">
        <v>-38203</v>
      </c>
      <c r="AF78" s="419">
        <v>-38942</v>
      </c>
      <c r="AG78" s="419">
        <v>-43873</v>
      </c>
      <c r="AH78" s="419">
        <v>-162648</v>
      </c>
      <c r="AI78" s="431"/>
      <c r="AJ78" s="419">
        <v>-46814</v>
      </c>
      <c r="AK78" s="419">
        <v>-44675</v>
      </c>
      <c r="AL78" s="419">
        <v>-36832</v>
      </c>
      <c r="AM78" s="419">
        <v>-41205</v>
      </c>
      <c r="AN78" s="419">
        <v>-169526</v>
      </c>
      <c r="AO78" s="431"/>
      <c r="AP78" s="419">
        <v>-39533</v>
      </c>
      <c r="AQ78" s="419">
        <v>-44249</v>
      </c>
      <c r="AR78" s="419">
        <v>-41054</v>
      </c>
      <c r="AS78" s="419">
        <v>-42552</v>
      </c>
      <c r="AT78" s="419">
        <v>-167388</v>
      </c>
      <c r="AU78" s="211"/>
    </row>
    <row r="79" spans="1:47" s="162" customFormat="1" ht="15" hidden="1" customHeight="1" outlineLevel="1" x14ac:dyDescent="0.2">
      <c r="A79" s="354" t="str">
        <f>IF(Contents!$A$1=2,"in Russia","в России")</f>
        <v>в России</v>
      </c>
      <c r="B79" s="255" t="str">
        <f>IF(Contents!$A$1=2,"mln RUB","млн руб.")</f>
        <v>млн руб.</v>
      </c>
      <c r="C79" s="169"/>
      <c r="D79" s="428">
        <v>0</v>
      </c>
      <c r="E79" s="428"/>
      <c r="F79" s="428">
        <v>0</v>
      </c>
      <c r="G79" s="428">
        <v>0</v>
      </c>
      <c r="H79" s="428">
        <v>0</v>
      </c>
      <c r="I79" s="428">
        <v>0</v>
      </c>
      <c r="J79" s="428">
        <v>0</v>
      </c>
      <c r="K79" s="428"/>
      <c r="L79" s="427">
        <v>0</v>
      </c>
      <c r="M79" s="427">
        <v>0</v>
      </c>
      <c r="N79" s="427">
        <v>0</v>
      </c>
      <c r="O79" s="427">
        <v>0</v>
      </c>
      <c r="P79" s="427">
        <v>0</v>
      </c>
      <c r="Q79" s="428"/>
      <c r="R79" s="427">
        <v>0</v>
      </c>
      <c r="S79" s="427">
        <v>0</v>
      </c>
      <c r="T79" s="427">
        <v>0</v>
      </c>
      <c r="U79" s="419">
        <v>0</v>
      </c>
      <c r="V79" s="419">
        <v>0</v>
      </c>
      <c r="W79" s="431"/>
      <c r="X79" s="427">
        <v>0</v>
      </c>
      <c r="Y79" s="427">
        <v>0</v>
      </c>
      <c r="Z79" s="427">
        <v>0</v>
      </c>
      <c r="AA79" s="419">
        <v>0</v>
      </c>
      <c r="AB79" s="419">
        <v>0</v>
      </c>
      <c r="AC79" s="431"/>
      <c r="AD79" s="419">
        <v>-22263</v>
      </c>
      <c r="AE79" s="419">
        <v>-22132</v>
      </c>
      <c r="AF79" s="419">
        <v>-22429</v>
      </c>
      <c r="AG79" s="419">
        <v>-23018</v>
      </c>
      <c r="AH79" s="419">
        <v>-89842</v>
      </c>
      <c r="AI79" s="431"/>
      <c r="AJ79" s="419">
        <v>-22529</v>
      </c>
      <c r="AK79" s="419">
        <v>-23407</v>
      </c>
      <c r="AL79" s="419">
        <v>-19402</v>
      </c>
      <c r="AM79" s="419">
        <v>-19385</v>
      </c>
      <c r="AN79" s="419">
        <v>-84723</v>
      </c>
      <c r="AO79" s="431"/>
      <c r="AP79" s="419">
        <v>-18543</v>
      </c>
      <c r="AQ79" s="419">
        <v>-21985</v>
      </c>
      <c r="AR79" s="419">
        <v>-22205</v>
      </c>
      <c r="AS79" s="419">
        <v>-22631</v>
      </c>
      <c r="AT79" s="419">
        <v>-85364</v>
      </c>
      <c r="AU79" s="211"/>
    </row>
    <row r="80" spans="1:47" s="162" customFormat="1" ht="15" hidden="1" customHeight="1" outlineLevel="1" x14ac:dyDescent="0.2">
      <c r="A80" s="354" t="str">
        <f>IF(Contents!$A$1=2,"outside Russia","за рубежом")</f>
        <v>за рубежом</v>
      </c>
      <c r="B80" s="255" t="str">
        <f>IF(Contents!$A$1=2,"mln RUB","млн руб.")</f>
        <v>млн руб.</v>
      </c>
      <c r="C80" s="169"/>
      <c r="D80" s="428">
        <v>0</v>
      </c>
      <c r="E80" s="428"/>
      <c r="F80" s="428">
        <v>0</v>
      </c>
      <c r="G80" s="428">
        <v>0</v>
      </c>
      <c r="H80" s="428">
        <v>0</v>
      </c>
      <c r="I80" s="428">
        <v>0</v>
      </c>
      <c r="J80" s="428">
        <v>0</v>
      </c>
      <c r="K80" s="428"/>
      <c r="L80" s="427">
        <v>0</v>
      </c>
      <c r="M80" s="427">
        <v>0</v>
      </c>
      <c r="N80" s="427">
        <v>0</v>
      </c>
      <c r="O80" s="427">
        <v>0</v>
      </c>
      <c r="P80" s="427">
        <v>0</v>
      </c>
      <c r="Q80" s="428"/>
      <c r="R80" s="427">
        <v>0</v>
      </c>
      <c r="S80" s="427">
        <v>0</v>
      </c>
      <c r="T80" s="427">
        <v>0</v>
      </c>
      <c r="U80" s="419">
        <v>0</v>
      </c>
      <c r="V80" s="419">
        <v>0</v>
      </c>
      <c r="W80" s="431"/>
      <c r="X80" s="427">
        <v>0</v>
      </c>
      <c r="Y80" s="427">
        <v>0</v>
      </c>
      <c r="Z80" s="427">
        <v>0</v>
      </c>
      <c r="AA80" s="419">
        <v>0</v>
      </c>
      <c r="AB80" s="419">
        <v>0</v>
      </c>
      <c r="AC80" s="431"/>
      <c r="AD80" s="419">
        <v>-19367</v>
      </c>
      <c r="AE80" s="419">
        <v>-16071</v>
      </c>
      <c r="AF80" s="419">
        <v>-16513</v>
      </c>
      <c r="AG80" s="419">
        <v>-20855</v>
      </c>
      <c r="AH80" s="419">
        <v>-72806</v>
      </c>
      <c r="AI80" s="431"/>
      <c r="AJ80" s="419">
        <v>-24285</v>
      </c>
      <c r="AK80" s="419">
        <v>-21268</v>
      </c>
      <c r="AL80" s="419">
        <v>-17430</v>
      </c>
      <c r="AM80" s="419">
        <v>-21820</v>
      </c>
      <c r="AN80" s="419">
        <v>-84803</v>
      </c>
      <c r="AO80" s="431"/>
      <c r="AP80" s="419">
        <v>-20990</v>
      </c>
      <c r="AQ80" s="419">
        <v>-22264</v>
      </c>
      <c r="AR80" s="419">
        <v>-18849</v>
      </c>
      <c r="AS80" s="419">
        <v>-19921</v>
      </c>
      <c r="AT80" s="419">
        <v>-82024</v>
      </c>
      <c r="AU80" s="211"/>
    </row>
    <row r="81" spans="1:47" s="162" customFormat="1" ht="15" hidden="1" customHeight="1" outlineLevel="1" x14ac:dyDescent="0.2">
      <c r="A81" s="168" t="str">
        <f>IF(Contents!$A$1=2,"Other transportation expenses","Затраты на транспортировку прочей продукции")</f>
        <v>Затраты на транспортировку прочей продукции</v>
      </c>
      <c r="B81" s="255" t="str">
        <f>IF(Contents!$A$1=2,"mln RUB","млн руб.")</f>
        <v>млн руб.</v>
      </c>
      <c r="C81" s="169"/>
      <c r="D81" s="428">
        <v>-14024</v>
      </c>
      <c r="E81" s="428"/>
      <c r="F81" s="428">
        <v>-4161</v>
      </c>
      <c r="G81" s="428">
        <v>-4834</v>
      </c>
      <c r="H81" s="428">
        <v>-4732</v>
      </c>
      <c r="I81" s="428">
        <v>-6319</v>
      </c>
      <c r="J81" s="428">
        <v>-20046</v>
      </c>
      <c r="K81" s="428"/>
      <c r="L81" s="427">
        <v>-3695</v>
      </c>
      <c r="M81" s="427">
        <v>-5446</v>
      </c>
      <c r="N81" s="427">
        <v>-6328</v>
      </c>
      <c r="O81" s="427">
        <v>-2515</v>
      </c>
      <c r="P81" s="427">
        <v>-17984</v>
      </c>
      <c r="Q81" s="428" t="e">
        <v>#N/A</v>
      </c>
      <c r="R81" s="427">
        <v>-5065</v>
      </c>
      <c r="S81" s="427">
        <v>-4337</v>
      </c>
      <c r="T81" s="427">
        <v>-5148</v>
      </c>
      <c r="U81" s="419">
        <v>-3437</v>
      </c>
      <c r="V81" s="419">
        <v>-17349</v>
      </c>
      <c r="W81" s="431"/>
      <c r="X81" s="427">
        <v>-4473</v>
      </c>
      <c r="Y81" s="427">
        <v>-4726</v>
      </c>
      <c r="Z81" s="427">
        <v>-5043</v>
      </c>
      <c r="AA81" s="419">
        <v>974</v>
      </c>
      <c r="AB81" s="419">
        <v>-13268</v>
      </c>
      <c r="AC81" s="431"/>
      <c r="AD81" s="419">
        <v>-3502</v>
      </c>
      <c r="AE81" s="419">
        <v>-4279</v>
      </c>
      <c r="AF81" s="419">
        <v>-4774</v>
      </c>
      <c r="AG81" s="419">
        <v>-5189</v>
      </c>
      <c r="AH81" s="419">
        <v>-17744</v>
      </c>
      <c r="AI81" s="431"/>
      <c r="AJ81" s="419">
        <v>-3972</v>
      </c>
      <c r="AK81" s="419">
        <v>-1832</v>
      </c>
      <c r="AL81" s="419">
        <v>-2994</v>
      </c>
      <c r="AM81" s="419">
        <v>-7428</v>
      </c>
      <c r="AN81" s="419">
        <v>-16226</v>
      </c>
      <c r="AO81" s="431"/>
      <c r="AP81" s="419">
        <v>-6546</v>
      </c>
      <c r="AQ81" s="419">
        <v>-7916</v>
      </c>
      <c r="AR81" s="419">
        <v>-8705</v>
      </c>
      <c r="AS81" s="419">
        <v>-7293</v>
      </c>
      <c r="AT81" s="419">
        <v>-30460</v>
      </c>
      <c r="AU81" s="211"/>
    </row>
    <row r="82" spans="1:47" s="162" customFormat="1" ht="15" hidden="1" customHeight="1" outlineLevel="1" x14ac:dyDescent="0.2">
      <c r="A82" s="354" t="str">
        <f>IF(Contents!$A$1=2,"in Russia","в России")</f>
        <v>в России</v>
      </c>
      <c r="B82" s="255" t="str">
        <f>IF(Contents!$A$1=2,"mln RUB","млн руб.")</f>
        <v>млн руб.</v>
      </c>
      <c r="C82" s="169"/>
      <c r="D82" s="428">
        <v>0</v>
      </c>
      <c r="E82" s="428"/>
      <c r="F82" s="428">
        <v>0</v>
      </c>
      <c r="G82" s="428">
        <v>0</v>
      </c>
      <c r="H82" s="428">
        <v>0</v>
      </c>
      <c r="I82" s="428">
        <v>0</v>
      </c>
      <c r="J82" s="428">
        <v>0</v>
      </c>
      <c r="K82" s="428"/>
      <c r="L82" s="427">
        <v>0</v>
      </c>
      <c r="M82" s="427">
        <v>0</v>
      </c>
      <c r="N82" s="427">
        <v>0</v>
      </c>
      <c r="O82" s="427">
        <v>0</v>
      </c>
      <c r="P82" s="427">
        <v>0</v>
      </c>
      <c r="Q82" s="428"/>
      <c r="R82" s="427">
        <v>0</v>
      </c>
      <c r="S82" s="427">
        <v>0</v>
      </c>
      <c r="T82" s="427">
        <v>0</v>
      </c>
      <c r="U82" s="419">
        <v>0</v>
      </c>
      <c r="V82" s="419">
        <v>0</v>
      </c>
      <c r="W82" s="431"/>
      <c r="X82" s="427">
        <v>0</v>
      </c>
      <c r="Y82" s="427">
        <v>0</v>
      </c>
      <c r="Z82" s="427">
        <v>0</v>
      </c>
      <c r="AA82" s="419">
        <v>0</v>
      </c>
      <c r="AB82" s="419">
        <v>0</v>
      </c>
      <c r="AC82" s="431"/>
      <c r="AD82" s="419">
        <v>-472</v>
      </c>
      <c r="AE82" s="419">
        <v>-536</v>
      </c>
      <c r="AF82" s="419">
        <v>-736</v>
      </c>
      <c r="AG82" s="419">
        <v>-456</v>
      </c>
      <c r="AH82" s="419">
        <v>-2200</v>
      </c>
      <c r="AI82" s="431"/>
      <c r="AJ82" s="419">
        <v>-515</v>
      </c>
      <c r="AK82" s="419">
        <v>-608</v>
      </c>
      <c r="AL82" s="419">
        <v>-1310</v>
      </c>
      <c r="AM82" s="419">
        <v>-836</v>
      </c>
      <c r="AN82" s="419">
        <v>-3269</v>
      </c>
      <c r="AO82" s="431"/>
      <c r="AP82" s="419">
        <v>-707</v>
      </c>
      <c r="AQ82" s="419">
        <v>-1279</v>
      </c>
      <c r="AR82" s="419">
        <v>-1110</v>
      </c>
      <c r="AS82" s="419">
        <v>-1019</v>
      </c>
      <c r="AT82" s="419">
        <v>-4115</v>
      </c>
      <c r="AU82" s="211"/>
    </row>
    <row r="83" spans="1:47" s="162" customFormat="1" ht="15" hidden="1" customHeight="1" outlineLevel="1" x14ac:dyDescent="0.2">
      <c r="A83" s="354" t="str">
        <f>IF(Contents!$A$1=2,"outside Russia","за рубежом")</f>
        <v>за рубежом</v>
      </c>
      <c r="B83" s="255" t="str">
        <f>IF(Contents!$A$1=2,"mln RUB","млн руб.")</f>
        <v>млн руб.</v>
      </c>
      <c r="C83" s="169"/>
      <c r="D83" s="428">
        <v>0</v>
      </c>
      <c r="E83" s="428"/>
      <c r="F83" s="428">
        <v>0</v>
      </c>
      <c r="G83" s="428">
        <v>0</v>
      </c>
      <c r="H83" s="428">
        <v>0</v>
      </c>
      <c r="I83" s="428">
        <v>0</v>
      </c>
      <c r="J83" s="428">
        <v>0</v>
      </c>
      <c r="K83" s="428"/>
      <c r="L83" s="427">
        <v>0</v>
      </c>
      <c r="M83" s="427">
        <v>0</v>
      </c>
      <c r="N83" s="427">
        <v>0</v>
      </c>
      <c r="O83" s="427">
        <v>0</v>
      </c>
      <c r="P83" s="427">
        <v>0</v>
      </c>
      <c r="Q83" s="428"/>
      <c r="R83" s="427">
        <v>0</v>
      </c>
      <c r="S83" s="427">
        <v>0</v>
      </c>
      <c r="T83" s="427">
        <v>0</v>
      </c>
      <c r="U83" s="419">
        <v>0</v>
      </c>
      <c r="V83" s="419">
        <v>0</v>
      </c>
      <c r="W83" s="431"/>
      <c r="X83" s="427">
        <v>0</v>
      </c>
      <c r="Y83" s="427">
        <v>0</v>
      </c>
      <c r="Z83" s="427">
        <v>0</v>
      </c>
      <c r="AA83" s="419">
        <v>0</v>
      </c>
      <c r="AB83" s="419">
        <v>0</v>
      </c>
      <c r="AC83" s="431"/>
      <c r="AD83" s="419">
        <v>-3030</v>
      </c>
      <c r="AE83" s="419">
        <v>-3743</v>
      </c>
      <c r="AF83" s="419">
        <v>-4038</v>
      </c>
      <c r="AG83" s="419">
        <v>-4733</v>
      </c>
      <c r="AH83" s="419">
        <v>-15544</v>
      </c>
      <c r="AI83" s="431"/>
      <c r="AJ83" s="419">
        <v>-3457</v>
      </c>
      <c r="AK83" s="419">
        <v>-1224</v>
      </c>
      <c r="AL83" s="419">
        <v>-1684</v>
      </c>
      <c r="AM83" s="419">
        <v>-6592</v>
      </c>
      <c r="AN83" s="419">
        <v>-12957</v>
      </c>
      <c r="AO83" s="431"/>
      <c r="AP83" s="419">
        <v>-5839</v>
      </c>
      <c r="AQ83" s="419">
        <v>-6637</v>
      </c>
      <c r="AR83" s="419">
        <v>-7595</v>
      </c>
      <c r="AS83" s="419">
        <v>-6274</v>
      </c>
      <c r="AT83" s="419">
        <v>-26345</v>
      </c>
      <c r="AU83" s="211"/>
    </row>
    <row r="84" spans="1:47" ht="15" customHeight="1" collapsed="1" x14ac:dyDescent="0.2">
      <c r="A84" s="100" t="str">
        <f>IF(Contents!$A$1=2,"Selling, general and administrative expenses","Коммерческие, общехозяйственные и административные расходы")</f>
        <v>Коммерческие, общехозяйственные и административные расходы</v>
      </c>
      <c r="B84" s="250" t="str">
        <f>IF(Contents!$A$1=2,"mln RUB","млн руб.")</f>
        <v>млн руб.</v>
      </c>
      <c r="C84" s="82"/>
      <c r="D84" s="474">
        <v>-146550</v>
      </c>
      <c r="E84" s="470"/>
      <c r="F84" s="474">
        <v>-41185</v>
      </c>
      <c r="G84" s="474">
        <v>-40028</v>
      </c>
      <c r="H84" s="474">
        <v>-40838</v>
      </c>
      <c r="I84" s="474">
        <v>-46618</v>
      </c>
      <c r="J84" s="474">
        <v>-168669</v>
      </c>
      <c r="K84" s="470"/>
      <c r="L84" s="474">
        <v>-47823</v>
      </c>
      <c r="M84" s="474">
        <v>-45302</v>
      </c>
      <c r="N84" s="474">
        <v>-52658</v>
      </c>
      <c r="O84" s="474">
        <v>-50373</v>
      </c>
      <c r="P84" s="474">
        <v>-196156</v>
      </c>
      <c r="Q84" s="470"/>
      <c r="R84" s="474">
        <v>-36286</v>
      </c>
      <c r="S84" s="474">
        <v>-39245</v>
      </c>
      <c r="T84" s="474">
        <v>-42872</v>
      </c>
      <c r="U84" s="474">
        <v>-46928</v>
      </c>
      <c r="V84" s="474">
        <v>-165331</v>
      </c>
      <c r="W84" s="470"/>
      <c r="X84" s="474">
        <v>-36754</v>
      </c>
      <c r="Y84" s="474">
        <v>-40409</v>
      </c>
      <c r="Z84" s="474">
        <v>-64766</v>
      </c>
      <c r="AA84" s="474">
        <v>-50504</v>
      </c>
      <c r="AB84" s="474">
        <v>-192433</v>
      </c>
      <c r="AC84" s="470"/>
      <c r="AD84" s="474">
        <v>-49573</v>
      </c>
      <c r="AE84" s="474">
        <v>-48987</v>
      </c>
      <c r="AF84" s="474">
        <v>-45638</v>
      </c>
      <c r="AG84" s="474">
        <v>-52974</v>
      </c>
      <c r="AH84" s="474">
        <v>-197172</v>
      </c>
      <c r="AI84" s="470"/>
      <c r="AJ84" s="474">
        <v>-45109</v>
      </c>
      <c r="AK84" s="474">
        <v>-52412</v>
      </c>
      <c r="AL84" s="474">
        <v>-45488</v>
      </c>
      <c r="AM84" s="474">
        <v>-56018</v>
      </c>
      <c r="AN84" s="474">
        <v>-199027</v>
      </c>
      <c r="AO84" s="470"/>
      <c r="AP84" s="474">
        <v>-46032</v>
      </c>
      <c r="AQ84" s="474">
        <v>-54369</v>
      </c>
      <c r="AR84" s="474">
        <v>-55466</v>
      </c>
      <c r="AS84" s="474">
        <v>-59323</v>
      </c>
      <c r="AT84" s="474">
        <v>-215190</v>
      </c>
    </row>
    <row r="85" spans="1:47" s="206" customFormat="1" ht="15" hidden="1" customHeight="1" outlineLevel="1" x14ac:dyDescent="0.2">
      <c r="A85" s="168" t="str">
        <f>IF(Contents!$A$1=2,"Payroll costs included in selling, general and administrative expenses","Расходы на оплату труда в составе коммерческих, общехозяйственных и административных расходов")</f>
        <v>Расходы на оплату труда в составе коммерческих, общехозяйственных и административных расходов</v>
      </c>
      <c r="B85" s="255" t="str">
        <f>IF(Contents!$A$1=2,"mln RUB","млн руб.")</f>
        <v>млн руб.</v>
      </c>
      <c r="C85" s="82"/>
      <c r="D85" s="428">
        <v>0</v>
      </c>
      <c r="E85" s="428"/>
      <c r="F85" s="428">
        <v>0</v>
      </c>
      <c r="G85" s="428">
        <v>0</v>
      </c>
      <c r="H85" s="428">
        <v>0</v>
      </c>
      <c r="I85" s="428">
        <v>0</v>
      </c>
      <c r="J85" s="428">
        <v>0</v>
      </c>
      <c r="K85" s="428"/>
      <c r="L85" s="428">
        <v>-17290</v>
      </c>
      <c r="M85" s="428">
        <v>-17565</v>
      </c>
      <c r="N85" s="428">
        <v>-17167</v>
      </c>
      <c r="O85" s="428">
        <v>-15476</v>
      </c>
      <c r="P85" s="428">
        <v>-67498</v>
      </c>
      <c r="Q85" s="428"/>
      <c r="R85" s="428">
        <v>-14753</v>
      </c>
      <c r="S85" s="428">
        <v>-14721</v>
      </c>
      <c r="T85" s="428">
        <v>-15854</v>
      </c>
      <c r="U85" s="428">
        <v>-13792</v>
      </c>
      <c r="V85" s="428">
        <v>-59120</v>
      </c>
      <c r="W85" s="428"/>
      <c r="X85" s="428">
        <v>-14072</v>
      </c>
      <c r="Y85" s="428">
        <v>-16396</v>
      </c>
      <c r="Z85" s="428">
        <v>-16287</v>
      </c>
      <c r="AA85" s="428">
        <v>-16204</v>
      </c>
      <c r="AB85" s="428">
        <v>-62959</v>
      </c>
      <c r="AC85" s="428"/>
      <c r="AD85" s="428">
        <v>-16067</v>
      </c>
      <c r="AE85" s="428">
        <v>-18447</v>
      </c>
      <c r="AF85" s="428">
        <v>-17957</v>
      </c>
      <c r="AG85" s="428">
        <v>-15909</v>
      </c>
      <c r="AH85" s="428">
        <v>-68380</v>
      </c>
      <c r="AI85" s="428"/>
      <c r="AJ85" s="428">
        <v>-15004</v>
      </c>
      <c r="AK85" s="428">
        <v>-23486</v>
      </c>
      <c r="AL85" s="428">
        <v>-18204</v>
      </c>
      <c r="AM85" s="428">
        <v>-18563</v>
      </c>
      <c r="AN85" s="428">
        <v>-75257</v>
      </c>
      <c r="AO85" s="428"/>
      <c r="AP85" s="428">
        <v>-15954</v>
      </c>
      <c r="AQ85" s="428">
        <v>-24724</v>
      </c>
      <c r="AR85" s="428">
        <v>-19689</v>
      </c>
      <c r="AS85" s="428">
        <v>-19901</v>
      </c>
      <c r="AT85" s="428">
        <v>-80268</v>
      </c>
    </row>
    <row r="86" spans="1:47" s="206" customFormat="1" ht="15" hidden="1" customHeight="1" outlineLevel="1" x14ac:dyDescent="0.2">
      <c r="A86" s="168" t="str">
        <f>IF(Contents!$A$1=2,"Other selling, general and administrative expenses","Прочие коммерческие, общехозяйственные и административные расходы")</f>
        <v>Прочие коммерческие, общехозяйственные и административные расходы</v>
      </c>
      <c r="B86" s="255" t="str">
        <f>IF(Contents!$A$1=2,"mln RUB","млн руб.")</f>
        <v>млн руб.</v>
      </c>
      <c r="C86" s="82"/>
      <c r="D86" s="428">
        <v>0</v>
      </c>
      <c r="E86" s="428"/>
      <c r="F86" s="428">
        <v>0</v>
      </c>
      <c r="G86" s="428">
        <v>0</v>
      </c>
      <c r="H86" s="428">
        <v>0</v>
      </c>
      <c r="I86" s="428">
        <v>0</v>
      </c>
      <c r="J86" s="428">
        <v>0</v>
      </c>
      <c r="K86" s="428"/>
      <c r="L86" s="428">
        <v>-24873</v>
      </c>
      <c r="M86" s="428">
        <v>-24140</v>
      </c>
      <c r="N86" s="428">
        <v>-25677</v>
      </c>
      <c r="O86" s="428">
        <v>-27197</v>
      </c>
      <c r="P86" s="428">
        <v>-101887</v>
      </c>
      <c r="Q86" s="428"/>
      <c r="R86" s="428">
        <v>-21880</v>
      </c>
      <c r="S86" s="428">
        <v>-24116</v>
      </c>
      <c r="T86" s="428">
        <v>-24130</v>
      </c>
      <c r="U86" s="428">
        <v>-28811</v>
      </c>
      <c r="V86" s="428">
        <v>-98937</v>
      </c>
      <c r="W86" s="428"/>
      <c r="X86" s="428">
        <v>-21544</v>
      </c>
      <c r="Y86" s="428">
        <v>-24451</v>
      </c>
      <c r="Z86" s="428">
        <v>-24540</v>
      </c>
      <c r="AA86" s="428">
        <v>-28588</v>
      </c>
      <c r="AB86" s="428">
        <v>-99123</v>
      </c>
      <c r="AC86" s="428"/>
      <c r="AD86" s="428">
        <v>-20869</v>
      </c>
      <c r="AE86" s="428">
        <v>-21077</v>
      </c>
      <c r="AF86" s="428">
        <v>-20686</v>
      </c>
      <c r="AG86" s="428">
        <v>-25454</v>
      </c>
      <c r="AH86" s="428">
        <v>-88086</v>
      </c>
      <c r="AI86" s="428"/>
      <c r="AJ86" s="428">
        <v>-21258</v>
      </c>
      <c r="AK86" s="428">
        <v>-20783</v>
      </c>
      <c r="AL86" s="428">
        <v>-21561</v>
      </c>
      <c r="AM86" s="428">
        <v>-22991</v>
      </c>
      <c r="AN86" s="428">
        <v>-86593</v>
      </c>
      <c r="AO86" s="428"/>
      <c r="AP86" s="428">
        <v>-21512</v>
      </c>
      <c r="AQ86" s="428">
        <v>-21128</v>
      </c>
      <c r="AR86" s="428">
        <v>-22016</v>
      </c>
      <c r="AS86" s="428">
        <v>-29809</v>
      </c>
      <c r="AT86" s="428">
        <v>-94465</v>
      </c>
    </row>
    <row r="87" spans="1:47" s="206" customFormat="1" ht="15" hidden="1" customHeight="1" outlineLevel="1" x14ac:dyDescent="0.2">
      <c r="A87" s="338" t="str">
        <f>IF(Contents!$A$1=2,"Share-based compensation","Вознаграждение на основе акций")</f>
        <v>Вознаграждение на основе акций</v>
      </c>
      <c r="B87" s="255" t="str">
        <f>IF(Contents!$A$1=2,"mln RUB","млн руб.")</f>
        <v>млн руб.</v>
      </c>
      <c r="C87" s="82"/>
      <c r="D87" s="428">
        <v>0</v>
      </c>
      <c r="E87" s="428"/>
      <c r="F87" s="428">
        <v>0</v>
      </c>
      <c r="G87" s="428">
        <v>0</v>
      </c>
      <c r="H87" s="428">
        <v>0</v>
      </c>
      <c r="I87" s="428">
        <v>0</v>
      </c>
      <c r="J87" s="428">
        <v>0</v>
      </c>
      <c r="K87" s="428"/>
      <c r="L87" s="428">
        <v>-3944</v>
      </c>
      <c r="M87" s="428">
        <v>-2400</v>
      </c>
      <c r="N87" s="428">
        <v>-5965</v>
      </c>
      <c r="O87" s="428">
        <v>-8061</v>
      </c>
      <c r="P87" s="428">
        <v>-20370</v>
      </c>
      <c r="Q87" s="428"/>
      <c r="R87" s="428">
        <v>3172</v>
      </c>
      <c r="S87" s="428">
        <v>-454</v>
      </c>
      <c r="T87" s="428">
        <v>-3043</v>
      </c>
      <c r="U87" s="428">
        <v>-810</v>
      </c>
      <c r="V87" s="428">
        <v>-1135</v>
      </c>
      <c r="W87" s="428"/>
      <c r="X87" s="428">
        <v>-190</v>
      </c>
      <c r="Y87" s="428">
        <v>0</v>
      </c>
      <c r="Z87" s="428">
        <v>-23269</v>
      </c>
      <c r="AA87" s="428">
        <v>-7841</v>
      </c>
      <c r="AB87" s="428">
        <v>-31300</v>
      </c>
      <c r="AC87" s="428"/>
      <c r="AD87" s="428">
        <v>-7842</v>
      </c>
      <c r="AE87" s="428">
        <v>-7842</v>
      </c>
      <c r="AF87" s="428">
        <v>-7841</v>
      </c>
      <c r="AG87" s="428">
        <v>-7841</v>
      </c>
      <c r="AH87" s="428">
        <v>-31366</v>
      </c>
      <c r="AI87" s="428"/>
      <c r="AJ87" s="428">
        <v>-7842</v>
      </c>
      <c r="AK87" s="428">
        <v>-7842</v>
      </c>
      <c r="AL87" s="428">
        <v>-7841</v>
      </c>
      <c r="AM87" s="428">
        <v>-7841</v>
      </c>
      <c r="AN87" s="428">
        <v>-31366</v>
      </c>
      <c r="AO87" s="428"/>
      <c r="AP87" s="428">
        <v>-7842</v>
      </c>
      <c r="AQ87" s="428">
        <v>-7842</v>
      </c>
      <c r="AR87" s="428">
        <v>-7841</v>
      </c>
      <c r="AS87" s="428">
        <v>-7841</v>
      </c>
      <c r="AT87" s="428">
        <v>-31366</v>
      </c>
    </row>
    <row r="88" spans="1:47" s="206" customFormat="1" ht="15" hidden="1" customHeight="1" outlineLevel="1" x14ac:dyDescent="0.2">
      <c r="A88" s="168" t="str">
        <f>IF(Contents!$A$1=2,"Income (expenses) on allowance for expected credit losses","Доходы (расходы) по созданию резерва под ожидаемые кредитные убытки")</f>
        <v>Доходы (расходы) по созданию резерва под ожидаемые кредитные убытки</v>
      </c>
      <c r="B88" s="255" t="str">
        <f>IF(Contents!$A$1=2,"mln RUB","млн руб.")</f>
        <v>млн руб.</v>
      </c>
      <c r="C88" s="82"/>
      <c r="D88" s="428">
        <v>0</v>
      </c>
      <c r="E88" s="428"/>
      <c r="F88" s="428">
        <v>0</v>
      </c>
      <c r="G88" s="428">
        <v>0</v>
      </c>
      <c r="H88" s="428">
        <v>0</v>
      </c>
      <c r="I88" s="428">
        <v>0</v>
      </c>
      <c r="J88" s="428">
        <v>0</v>
      </c>
      <c r="K88" s="428"/>
      <c r="L88" s="428">
        <v>-1716</v>
      </c>
      <c r="M88" s="428">
        <v>-1197</v>
      </c>
      <c r="N88" s="428">
        <v>-3849</v>
      </c>
      <c r="O88" s="428">
        <v>361</v>
      </c>
      <c r="P88" s="428">
        <v>-6401</v>
      </c>
      <c r="Q88" s="428"/>
      <c r="R88" s="428">
        <v>-2825</v>
      </c>
      <c r="S88" s="428">
        <v>46</v>
      </c>
      <c r="T88" s="428">
        <v>155</v>
      </c>
      <c r="U88" s="428">
        <v>-3515</v>
      </c>
      <c r="V88" s="428">
        <v>-6139</v>
      </c>
      <c r="W88" s="428"/>
      <c r="X88" s="428">
        <v>-948</v>
      </c>
      <c r="Y88" s="428">
        <v>438</v>
      </c>
      <c r="Z88" s="428">
        <v>-670</v>
      </c>
      <c r="AA88" s="428">
        <v>2129</v>
      </c>
      <c r="AB88" s="428">
        <v>949</v>
      </c>
      <c r="AC88" s="428"/>
      <c r="AD88" s="428">
        <v>-4795</v>
      </c>
      <c r="AE88" s="428">
        <v>-1621</v>
      </c>
      <c r="AF88" s="428">
        <v>846</v>
      </c>
      <c r="AG88" s="428">
        <v>-3770</v>
      </c>
      <c r="AH88" s="428">
        <v>-9340</v>
      </c>
      <c r="AI88" s="428"/>
      <c r="AJ88" s="428">
        <v>-1005</v>
      </c>
      <c r="AK88" s="428">
        <v>-301</v>
      </c>
      <c r="AL88" s="428">
        <v>2118</v>
      </c>
      <c r="AM88" s="428">
        <v>-6623</v>
      </c>
      <c r="AN88" s="428">
        <v>-5811</v>
      </c>
      <c r="AO88" s="428"/>
      <c r="AP88" s="428">
        <v>-724</v>
      </c>
      <c r="AQ88" s="428">
        <v>-675</v>
      </c>
      <c r="AR88" s="428">
        <v>-5920</v>
      </c>
      <c r="AS88" s="428">
        <v>-1772</v>
      </c>
      <c r="AT88" s="428">
        <v>-9091</v>
      </c>
    </row>
    <row r="89" spans="1:47" ht="15" customHeight="1" x14ac:dyDescent="0.2">
      <c r="A89" s="100" t="str">
        <f>IF(Contents!$A$1=2,"Depreciation, depletion and amortization","Износ и амортизация")</f>
        <v>Износ и амортизация</v>
      </c>
      <c r="B89" s="250" t="str">
        <f>IF(Contents!$A$1=2,"mln RUB","млн руб.")</f>
        <v>млн руб.</v>
      </c>
      <c r="C89" s="82"/>
      <c r="D89" s="474">
        <v>-293052</v>
      </c>
      <c r="E89" s="470"/>
      <c r="F89" s="474">
        <v>-78463</v>
      </c>
      <c r="G89" s="474">
        <v>-87058</v>
      </c>
      <c r="H89" s="474">
        <v>-100061</v>
      </c>
      <c r="I89" s="474">
        <v>-85394</v>
      </c>
      <c r="J89" s="474">
        <v>-350976</v>
      </c>
      <c r="K89" s="470"/>
      <c r="L89" s="474">
        <v>-84348</v>
      </c>
      <c r="M89" s="474">
        <v>-71608</v>
      </c>
      <c r="N89" s="474">
        <v>-74790</v>
      </c>
      <c r="O89" s="474">
        <v>-80842</v>
      </c>
      <c r="P89" s="474">
        <v>-311588</v>
      </c>
      <c r="Q89" s="470"/>
      <c r="R89" s="474">
        <v>-80774</v>
      </c>
      <c r="S89" s="474">
        <v>-84162</v>
      </c>
      <c r="T89" s="474">
        <v>-83920</v>
      </c>
      <c r="U89" s="474">
        <v>-76198</v>
      </c>
      <c r="V89" s="474">
        <v>-325054</v>
      </c>
      <c r="W89" s="470"/>
      <c r="X89" s="474">
        <v>-87690</v>
      </c>
      <c r="Y89" s="474">
        <v>-97593</v>
      </c>
      <c r="Z89" s="474">
        <v>-105900</v>
      </c>
      <c r="AA89" s="474">
        <v>-51902</v>
      </c>
      <c r="AB89" s="474">
        <v>-343085</v>
      </c>
      <c r="AC89" s="470"/>
      <c r="AD89" s="474">
        <v>-103830</v>
      </c>
      <c r="AE89" s="474">
        <v>-105730</v>
      </c>
      <c r="AF89" s="474">
        <v>-104504</v>
      </c>
      <c r="AG89" s="474">
        <v>-101030</v>
      </c>
      <c r="AH89" s="474">
        <v>-415094</v>
      </c>
      <c r="AI89" s="470"/>
      <c r="AJ89" s="474">
        <v>-110718</v>
      </c>
      <c r="AK89" s="474">
        <v>-100725</v>
      </c>
      <c r="AL89" s="474">
        <v>-103439</v>
      </c>
      <c r="AM89" s="474">
        <v>-90558</v>
      </c>
      <c r="AN89" s="474">
        <v>-405440</v>
      </c>
      <c r="AO89" s="470"/>
      <c r="AP89" s="474">
        <v>-113714</v>
      </c>
      <c r="AQ89" s="474">
        <v>-106514</v>
      </c>
      <c r="AR89" s="474">
        <v>-107403</v>
      </c>
      <c r="AS89" s="474">
        <v>-97835</v>
      </c>
      <c r="AT89" s="474">
        <v>-425466</v>
      </c>
    </row>
    <row r="90" spans="1:47" ht="15" customHeight="1" collapsed="1" x14ac:dyDescent="0.2">
      <c r="A90" s="100" t="str">
        <f>IF(Contents!$A$1=2,"Taxes other than income taxes","Налоги (кроме налога на прибыль)")</f>
        <v>Налоги (кроме налога на прибыль)</v>
      </c>
      <c r="B90" s="250" t="str">
        <f>IF(Contents!$A$1=2,"mln RUB","млн руб.")</f>
        <v>млн руб.</v>
      </c>
      <c r="C90" s="82"/>
      <c r="D90" s="474">
        <v>-467732</v>
      </c>
      <c r="E90" s="470"/>
      <c r="F90" s="474">
        <v>-129835</v>
      </c>
      <c r="G90" s="474">
        <v>-141219</v>
      </c>
      <c r="H90" s="474">
        <v>-134256</v>
      </c>
      <c r="I90" s="474">
        <v>-117310</v>
      </c>
      <c r="J90" s="474">
        <v>-522620</v>
      </c>
      <c r="K90" s="470"/>
      <c r="L90" s="474">
        <v>-83553</v>
      </c>
      <c r="M90" s="474">
        <v>-118724</v>
      </c>
      <c r="N90" s="474">
        <v>-122245</v>
      </c>
      <c r="O90" s="474">
        <v>-118816</v>
      </c>
      <c r="P90" s="474">
        <v>-443338</v>
      </c>
      <c r="Q90" s="470"/>
      <c r="R90" s="474">
        <v>-153682</v>
      </c>
      <c r="S90" s="474">
        <v>-145640</v>
      </c>
      <c r="T90" s="474">
        <v>-135266</v>
      </c>
      <c r="U90" s="474">
        <v>-171922</v>
      </c>
      <c r="V90" s="474">
        <v>-606510</v>
      </c>
      <c r="W90" s="470"/>
      <c r="X90" s="474">
        <v>-186667</v>
      </c>
      <c r="Y90" s="474">
        <v>-213970</v>
      </c>
      <c r="Z90" s="474">
        <v>-248539</v>
      </c>
      <c r="AA90" s="474">
        <v>-250207</v>
      </c>
      <c r="AB90" s="474">
        <v>-899383</v>
      </c>
      <c r="AC90" s="470"/>
      <c r="AD90" s="474">
        <v>-221019</v>
      </c>
      <c r="AE90" s="474">
        <v>-254494</v>
      </c>
      <c r="AF90" s="474">
        <v>-233001</v>
      </c>
      <c r="AG90" s="474">
        <v>-219676</v>
      </c>
      <c r="AH90" s="474">
        <v>-928190</v>
      </c>
      <c r="AI90" s="470"/>
      <c r="AJ90" s="474">
        <v>-193708</v>
      </c>
      <c r="AK90" s="474">
        <v>-93341</v>
      </c>
      <c r="AL90" s="474">
        <v>-133550</v>
      </c>
      <c r="AM90" s="474">
        <v>-148479</v>
      </c>
      <c r="AN90" s="474">
        <v>-569078</v>
      </c>
      <c r="AO90" s="470"/>
      <c r="AP90" s="474">
        <v>-236612</v>
      </c>
      <c r="AQ90" s="474">
        <v>-328549</v>
      </c>
      <c r="AR90" s="474">
        <v>-351395</v>
      </c>
      <c r="AS90" s="474">
        <v>-392326</v>
      </c>
      <c r="AT90" s="474">
        <v>-1308882</v>
      </c>
    </row>
    <row r="91" spans="1:47" s="185" customFormat="1" ht="15" hidden="1" customHeight="1" outlineLevel="1" x14ac:dyDescent="0.25">
      <c r="A91" s="184" t="str">
        <f>IF(Contents!$A$1=2,"Total in Russia","Итого в России")</f>
        <v>Итого в России</v>
      </c>
      <c r="B91" s="258" t="str">
        <f>IF(Contents!$A$1=2,"mln RUB","млн руб.")</f>
        <v>млн руб.</v>
      </c>
      <c r="C91" s="173"/>
      <c r="D91" s="460">
        <v>-459092</v>
      </c>
      <c r="E91" s="469"/>
      <c r="F91" s="460">
        <v>-127031</v>
      </c>
      <c r="G91" s="460">
        <v>-139022</v>
      </c>
      <c r="H91" s="460">
        <v>-131462</v>
      </c>
      <c r="I91" s="460">
        <v>-114504</v>
      </c>
      <c r="J91" s="460">
        <v>-512019</v>
      </c>
      <c r="K91" s="469"/>
      <c r="L91" s="460">
        <v>-80758</v>
      </c>
      <c r="M91" s="460">
        <v>-116251</v>
      </c>
      <c r="N91" s="460">
        <v>-119749</v>
      </c>
      <c r="O91" s="460">
        <v>-115779</v>
      </c>
      <c r="P91" s="460">
        <v>-432537</v>
      </c>
      <c r="Q91" s="469"/>
      <c r="R91" s="460">
        <v>-151674</v>
      </c>
      <c r="S91" s="460">
        <v>-143489</v>
      </c>
      <c r="T91" s="460">
        <v>-133037</v>
      </c>
      <c r="U91" s="460">
        <v>-168870</v>
      </c>
      <c r="V91" s="460">
        <v>-597070</v>
      </c>
      <c r="W91" s="469"/>
      <c r="X91" s="460">
        <v>-184436</v>
      </c>
      <c r="Y91" s="460">
        <v>-211544</v>
      </c>
      <c r="Z91" s="460">
        <v>-246089</v>
      </c>
      <c r="AA91" s="460">
        <v>-247593</v>
      </c>
      <c r="AB91" s="460">
        <v>-889662</v>
      </c>
      <c r="AC91" s="469"/>
      <c r="AD91" s="460">
        <v>-218568</v>
      </c>
      <c r="AE91" s="460">
        <v>-252074</v>
      </c>
      <c r="AF91" s="460">
        <v>-230661</v>
      </c>
      <c r="AG91" s="460">
        <v>-216857</v>
      </c>
      <c r="AH91" s="460">
        <v>-918160</v>
      </c>
      <c r="AI91" s="469"/>
      <c r="AJ91" s="460">
        <v>-191208</v>
      </c>
      <c r="AK91" s="460">
        <v>-90592</v>
      </c>
      <c r="AL91" s="460">
        <v>-130817</v>
      </c>
      <c r="AM91" s="460">
        <v>-145254</v>
      </c>
      <c r="AN91" s="460">
        <v>-557871</v>
      </c>
      <c r="AO91" s="469"/>
      <c r="AP91" s="460">
        <v>-233739</v>
      </c>
      <c r="AQ91" s="460">
        <v>-324983</v>
      </c>
      <c r="AR91" s="460">
        <v>-348485</v>
      </c>
      <c r="AS91" s="460">
        <v>-389347</v>
      </c>
      <c r="AT91" s="460">
        <v>-1296554</v>
      </c>
    </row>
    <row r="92" spans="1:47" s="170" customFormat="1" ht="15" hidden="1" customHeight="1" outlineLevel="1" x14ac:dyDescent="0.25">
      <c r="A92" s="168" t="str">
        <f>IF(Contents!$A$1=2,"Mineral extraction taxes","Налог на добычу полезных ископаемых")</f>
        <v>Налог на добычу полезных ископаемых</v>
      </c>
      <c r="B92" s="255" t="str">
        <f>IF(Contents!$A$1=2,"mln RUB","млн руб.")</f>
        <v>млн руб.</v>
      </c>
      <c r="C92" s="171"/>
      <c r="D92" s="427">
        <v>-420946</v>
      </c>
      <c r="E92" s="428"/>
      <c r="F92" s="427">
        <v>-116649</v>
      </c>
      <c r="G92" s="427">
        <v>-128720</v>
      </c>
      <c r="H92" s="427">
        <v>-120539</v>
      </c>
      <c r="I92" s="427">
        <v>-104105</v>
      </c>
      <c r="J92" s="427">
        <v>-470013</v>
      </c>
      <c r="K92" s="428"/>
      <c r="L92" s="427">
        <v>-69738</v>
      </c>
      <c r="M92" s="427">
        <v>-105073</v>
      </c>
      <c r="N92" s="427">
        <v>-108073</v>
      </c>
      <c r="O92" s="427">
        <v>-105951</v>
      </c>
      <c r="P92" s="427">
        <v>-388835</v>
      </c>
      <c r="Q92" s="428"/>
      <c r="R92" s="427">
        <v>-139388</v>
      </c>
      <c r="S92" s="427">
        <v>-131651</v>
      </c>
      <c r="T92" s="427">
        <v>-121084</v>
      </c>
      <c r="U92" s="427">
        <v>-152463</v>
      </c>
      <c r="V92" s="427">
        <v>-544586</v>
      </c>
      <c r="W92" s="428"/>
      <c r="X92" s="427">
        <v>-171172</v>
      </c>
      <c r="Y92" s="427">
        <v>-197634</v>
      </c>
      <c r="Z92" s="427">
        <v>-232845</v>
      </c>
      <c r="AA92" s="427">
        <v>-235169</v>
      </c>
      <c r="AB92" s="427">
        <v>-836820</v>
      </c>
      <c r="AC92" s="428"/>
      <c r="AD92" s="427">
        <v>-201080</v>
      </c>
      <c r="AE92" s="427">
        <v>-233568</v>
      </c>
      <c r="AF92" s="427">
        <v>-214115</v>
      </c>
      <c r="AG92" s="427">
        <v>-200682</v>
      </c>
      <c r="AH92" s="427">
        <v>-849445</v>
      </c>
      <c r="AI92" s="428"/>
      <c r="AJ92" s="427">
        <v>-174539</v>
      </c>
      <c r="AK92" s="427">
        <v>-76282</v>
      </c>
      <c r="AL92" s="427">
        <v>-115938</v>
      </c>
      <c r="AM92" s="427">
        <v>-129118</v>
      </c>
      <c r="AN92" s="427">
        <v>-495877</v>
      </c>
      <c r="AO92" s="428"/>
      <c r="AP92" s="427">
        <v>-191441</v>
      </c>
      <c r="AQ92" s="427">
        <v>-273958</v>
      </c>
      <c r="AR92" s="427">
        <v>-291773</v>
      </c>
      <c r="AS92" s="427">
        <v>-331756</v>
      </c>
      <c r="AT92" s="427">
        <v>-1088928</v>
      </c>
    </row>
    <row r="93" spans="1:47" s="170" customFormat="1" ht="15" hidden="1" customHeight="1" outlineLevel="1" x14ac:dyDescent="0.25">
      <c r="A93" s="168" t="str">
        <f>IF(Contents!$A$1=2,"Tax on additional income","Налог на дополнительный доход от добычи углеводородного сырья")</f>
        <v>Налог на дополнительный доход от добычи углеводородного сырья</v>
      </c>
      <c r="B93" s="255" t="str">
        <f>IF(Contents!$A$1=2,"mln RUB","млн руб.")</f>
        <v>млн руб.</v>
      </c>
      <c r="C93" s="171"/>
      <c r="D93" s="428">
        <v>0</v>
      </c>
      <c r="E93" s="428"/>
      <c r="F93" s="428">
        <v>0</v>
      </c>
      <c r="G93" s="428">
        <v>0</v>
      </c>
      <c r="H93" s="428">
        <v>0</v>
      </c>
      <c r="I93" s="428">
        <v>0</v>
      </c>
      <c r="J93" s="428">
        <v>0</v>
      </c>
      <c r="K93" s="428"/>
      <c r="L93" s="428">
        <v>0</v>
      </c>
      <c r="M93" s="428">
        <v>0</v>
      </c>
      <c r="N93" s="428">
        <v>0</v>
      </c>
      <c r="O93" s="428">
        <v>0</v>
      </c>
      <c r="P93" s="428">
        <v>0</v>
      </c>
      <c r="Q93" s="428"/>
      <c r="R93" s="428">
        <v>0</v>
      </c>
      <c r="S93" s="428">
        <v>0</v>
      </c>
      <c r="T93" s="428">
        <v>0</v>
      </c>
      <c r="U93" s="428">
        <v>0</v>
      </c>
      <c r="V93" s="428">
        <v>0</v>
      </c>
      <c r="W93" s="428"/>
      <c r="X93" s="428">
        <v>0</v>
      </c>
      <c r="Y93" s="428">
        <v>0</v>
      </c>
      <c r="Z93" s="428">
        <v>0</v>
      </c>
      <c r="AA93" s="428">
        <v>0</v>
      </c>
      <c r="AB93" s="428">
        <v>0</v>
      </c>
      <c r="AC93" s="428"/>
      <c r="AD93" s="427">
        <v>-4353</v>
      </c>
      <c r="AE93" s="427">
        <v>-5108</v>
      </c>
      <c r="AF93" s="427">
        <v>-3367</v>
      </c>
      <c r="AG93" s="427">
        <v>-3401</v>
      </c>
      <c r="AH93" s="427">
        <v>-16229</v>
      </c>
      <c r="AI93" s="428"/>
      <c r="AJ93" s="427">
        <v>-2211</v>
      </c>
      <c r="AK93" s="427">
        <v>-423</v>
      </c>
      <c r="AL93" s="427">
        <v>-1026</v>
      </c>
      <c r="AM93" s="427">
        <v>-2985</v>
      </c>
      <c r="AN93" s="427">
        <v>-6645</v>
      </c>
      <c r="AO93" s="428"/>
      <c r="AP93" s="427">
        <v>-27715</v>
      </c>
      <c r="AQ93" s="427">
        <v>-36174</v>
      </c>
      <c r="AR93" s="427">
        <v>-41899</v>
      </c>
      <c r="AS93" s="427">
        <v>-43716</v>
      </c>
      <c r="AT93" s="427">
        <v>-149504</v>
      </c>
    </row>
    <row r="94" spans="1:47" s="170" customFormat="1" ht="15" hidden="1" customHeight="1" outlineLevel="1" x14ac:dyDescent="0.25">
      <c r="A94" s="168" t="str">
        <f>IF(Contents!$A$1=2,"Statutory insurance contributions and social taxes","Страховые взносы и социальные налоги")</f>
        <v>Страховые взносы и социальные налоги</v>
      </c>
      <c r="B94" s="255" t="str">
        <f>IF(Contents!$A$1=2,"mln RUB","млн руб.")</f>
        <v>млн руб.</v>
      </c>
      <c r="C94" s="171"/>
      <c r="D94" s="427">
        <v>-17462</v>
      </c>
      <c r="E94" s="428"/>
      <c r="F94" s="427">
        <v>-5344</v>
      </c>
      <c r="G94" s="427">
        <v>-5506</v>
      </c>
      <c r="H94" s="427">
        <v>-5453</v>
      </c>
      <c r="I94" s="427">
        <v>-4880</v>
      </c>
      <c r="J94" s="427">
        <v>-21183</v>
      </c>
      <c r="K94" s="428"/>
      <c r="L94" s="427">
        <v>-6027</v>
      </c>
      <c r="M94" s="427">
        <v>-5808</v>
      </c>
      <c r="N94" s="427">
        <v>-5895</v>
      </c>
      <c r="O94" s="427">
        <v>-5133</v>
      </c>
      <c r="P94" s="427">
        <v>-22863</v>
      </c>
      <c r="Q94" s="428"/>
      <c r="R94" s="427">
        <v>-6690</v>
      </c>
      <c r="S94" s="427">
        <v>-6598</v>
      </c>
      <c r="T94" s="427">
        <v>-6421</v>
      </c>
      <c r="U94" s="427">
        <v>-9469</v>
      </c>
      <c r="V94" s="427">
        <v>-29178</v>
      </c>
      <c r="W94" s="428"/>
      <c r="X94" s="427">
        <v>-6766</v>
      </c>
      <c r="Y94" s="427">
        <v>-7080</v>
      </c>
      <c r="Z94" s="427">
        <v>-6711</v>
      </c>
      <c r="AA94" s="427">
        <v>-5949</v>
      </c>
      <c r="AB94" s="427">
        <v>-26506</v>
      </c>
      <c r="AC94" s="428"/>
      <c r="AD94" s="427">
        <v>-7144</v>
      </c>
      <c r="AE94" s="427">
        <v>-7203</v>
      </c>
      <c r="AF94" s="427">
        <v>-6798</v>
      </c>
      <c r="AG94" s="427">
        <v>-6163</v>
      </c>
      <c r="AH94" s="427">
        <v>-27308</v>
      </c>
      <c r="AI94" s="428"/>
      <c r="AJ94" s="427">
        <v>-7569</v>
      </c>
      <c r="AK94" s="427">
        <v>-7325</v>
      </c>
      <c r="AL94" s="427">
        <v>-7072</v>
      </c>
      <c r="AM94" s="427">
        <v>-6471</v>
      </c>
      <c r="AN94" s="427">
        <v>-28437</v>
      </c>
      <c r="AO94" s="428"/>
      <c r="AP94" s="427">
        <v>-7481</v>
      </c>
      <c r="AQ94" s="427">
        <v>-7815</v>
      </c>
      <c r="AR94" s="427">
        <v>-7728</v>
      </c>
      <c r="AS94" s="427">
        <v>-6813</v>
      </c>
      <c r="AT94" s="427">
        <v>-29837</v>
      </c>
    </row>
    <row r="95" spans="1:47" s="170" customFormat="1" ht="15" hidden="1" customHeight="1" outlineLevel="1" x14ac:dyDescent="0.25">
      <c r="A95" s="168" t="str">
        <f>IF(Contents!$A$1=2,"Property tax","Налог на имущество")</f>
        <v>Налог на имущество</v>
      </c>
      <c r="B95" s="255" t="str">
        <f>IF(Contents!$A$1=2,"mln RUB","млн руб.")</f>
        <v>млн руб.</v>
      </c>
      <c r="C95" s="171"/>
      <c r="D95" s="427">
        <v>-16874</v>
      </c>
      <c r="E95" s="428"/>
      <c r="F95" s="427">
        <v>-4334</v>
      </c>
      <c r="G95" s="427">
        <v>-4398</v>
      </c>
      <c r="H95" s="427">
        <v>-4743</v>
      </c>
      <c r="I95" s="427">
        <v>-4889</v>
      </c>
      <c r="J95" s="427">
        <v>-18364</v>
      </c>
      <c r="K95" s="428"/>
      <c r="L95" s="427">
        <v>-4538</v>
      </c>
      <c r="M95" s="427">
        <v>-4728</v>
      </c>
      <c r="N95" s="427">
        <v>-4820</v>
      </c>
      <c r="O95" s="427">
        <v>-4351</v>
      </c>
      <c r="P95" s="427">
        <v>-18437</v>
      </c>
      <c r="Q95" s="428"/>
      <c r="R95" s="427">
        <v>-4789</v>
      </c>
      <c r="S95" s="427">
        <v>-4820</v>
      </c>
      <c r="T95" s="427">
        <v>-4882</v>
      </c>
      <c r="U95" s="427">
        <v>-5817</v>
      </c>
      <c r="V95" s="427">
        <v>-20308</v>
      </c>
      <c r="W95" s="428"/>
      <c r="X95" s="427">
        <v>-6264</v>
      </c>
      <c r="Y95" s="427">
        <v>-6182</v>
      </c>
      <c r="Z95" s="427">
        <v>-6269</v>
      </c>
      <c r="AA95" s="427">
        <v>-5558</v>
      </c>
      <c r="AB95" s="427">
        <v>-24273</v>
      </c>
      <c r="AC95" s="428"/>
      <c r="AD95" s="427">
        <v>-5509</v>
      </c>
      <c r="AE95" s="427">
        <v>-5559</v>
      </c>
      <c r="AF95" s="427">
        <v>-5652</v>
      </c>
      <c r="AG95" s="427">
        <v>-5943</v>
      </c>
      <c r="AH95" s="427">
        <v>-22663</v>
      </c>
      <c r="AI95" s="428"/>
      <c r="AJ95" s="427">
        <v>-6408</v>
      </c>
      <c r="AK95" s="427">
        <v>-6093</v>
      </c>
      <c r="AL95" s="427">
        <v>-6110</v>
      </c>
      <c r="AM95" s="427">
        <v>-6189</v>
      </c>
      <c r="AN95" s="427">
        <v>-24800</v>
      </c>
      <c r="AO95" s="428"/>
      <c r="AP95" s="427">
        <v>-6512</v>
      </c>
      <c r="AQ95" s="427">
        <v>-6472</v>
      </c>
      <c r="AR95" s="427">
        <v>-6606</v>
      </c>
      <c r="AS95" s="427">
        <v>-6341</v>
      </c>
      <c r="AT95" s="427">
        <v>-25931</v>
      </c>
    </row>
    <row r="96" spans="1:47" s="170" customFormat="1" ht="15" hidden="1" customHeight="1" outlineLevel="1" x14ac:dyDescent="0.25">
      <c r="A96" s="168" t="str">
        <f>IF(Contents!$A$1=2,"Other taxes","Прочие налоги и отчисления")</f>
        <v>Прочие налоги и отчисления</v>
      </c>
      <c r="B96" s="255" t="str">
        <f>IF(Contents!$A$1=2,"mln RUB","млн руб.")</f>
        <v>млн руб.</v>
      </c>
      <c r="C96" s="171"/>
      <c r="D96" s="427">
        <v>-3810</v>
      </c>
      <c r="E96" s="428"/>
      <c r="F96" s="427">
        <v>-704</v>
      </c>
      <c r="G96" s="427">
        <v>-398</v>
      </c>
      <c r="H96" s="427">
        <v>-727</v>
      </c>
      <c r="I96" s="427">
        <v>-630</v>
      </c>
      <c r="J96" s="427">
        <v>-2459</v>
      </c>
      <c r="K96" s="428"/>
      <c r="L96" s="427">
        <v>-455</v>
      </c>
      <c r="M96" s="427">
        <v>-642</v>
      </c>
      <c r="N96" s="427">
        <v>-961</v>
      </c>
      <c r="O96" s="427">
        <v>-344</v>
      </c>
      <c r="P96" s="427">
        <v>-2402</v>
      </c>
      <c r="Q96" s="428"/>
      <c r="R96" s="427">
        <v>-807</v>
      </c>
      <c r="S96" s="427">
        <v>-420</v>
      </c>
      <c r="T96" s="427">
        <v>-650</v>
      </c>
      <c r="U96" s="427">
        <v>-1121</v>
      </c>
      <c r="V96" s="427">
        <v>-2998</v>
      </c>
      <c r="W96" s="428"/>
      <c r="X96" s="427">
        <v>-234</v>
      </c>
      <c r="Y96" s="427">
        <v>-648</v>
      </c>
      <c r="Z96" s="427">
        <v>-264</v>
      </c>
      <c r="AA96" s="427">
        <v>-917</v>
      </c>
      <c r="AB96" s="427">
        <v>-2063</v>
      </c>
      <c r="AC96" s="428"/>
      <c r="AD96" s="427">
        <v>-482</v>
      </c>
      <c r="AE96" s="427">
        <v>-636</v>
      </c>
      <c r="AF96" s="427">
        <v>-729</v>
      </c>
      <c r="AG96" s="427">
        <v>-668</v>
      </c>
      <c r="AH96" s="427">
        <v>-2515</v>
      </c>
      <c r="AI96" s="428"/>
      <c r="AJ96" s="427">
        <v>-481</v>
      </c>
      <c r="AK96" s="427">
        <v>-469</v>
      </c>
      <c r="AL96" s="427">
        <v>-671</v>
      </c>
      <c r="AM96" s="427">
        <v>-491</v>
      </c>
      <c r="AN96" s="427">
        <v>-2112</v>
      </c>
      <c r="AO96" s="428"/>
      <c r="AP96" s="427">
        <v>-590</v>
      </c>
      <c r="AQ96" s="427">
        <v>-564</v>
      </c>
      <c r="AR96" s="427">
        <v>-479</v>
      </c>
      <c r="AS96" s="427">
        <v>-721</v>
      </c>
      <c r="AT96" s="427">
        <v>-2354</v>
      </c>
    </row>
    <row r="97" spans="1:46" s="172" customFormat="1" ht="15" hidden="1" customHeight="1" outlineLevel="1" x14ac:dyDescent="0.25">
      <c r="A97" s="184" t="str">
        <f>IF(Contents!$A$1=2,"Total internationally","Итого за рубежом")</f>
        <v>Итого за рубежом</v>
      </c>
      <c r="B97" s="258" t="str">
        <f>IF(Contents!$A$1=2,"mln RUB","млн руб.")</f>
        <v>млн руб.</v>
      </c>
      <c r="C97" s="173"/>
      <c r="D97" s="460">
        <v>-8640</v>
      </c>
      <c r="E97" s="469"/>
      <c r="F97" s="460">
        <v>-2804</v>
      </c>
      <c r="G97" s="460">
        <v>-2197</v>
      </c>
      <c r="H97" s="460">
        <v>-2794</v>
      </c>
      <c r="I97" s="460">
        <v>-2806</v>
      </c>
      <c r="J97" s="460">
        <v>-10601</v>
      </c>
      <c r="K97" s="469"/>
      <c r="L97" s="460">
        <v>-2795</v>
      </c>
      <c r="M97" s="460">
        <v>-2473</v>
      </c>
      <c r="N97" s="460">
        <v>-2496</v>
      </c>
      <c r="O97" s="460">
        <v>-3037</v>
      </c>
      <c r="P97" s="460">
        <v>-10801</v>
      </c>
      <c r="Q97" s="469"/>
      <c r="R97" s="460">
        <v>-2008</v>
      </c>
      <c r="S97" s="460">
        <v>-2151</v>
      </c>
      <c r="T97" s="460">
        <v>-2229</v>
      </c>
      <c r="U97" s="460">
        <v>-3052</v>
      </c>
      <c r="V97" s="460">
        <v>-9440</v>
      </c>
      <c r="W97" s="469"/>
      <c r="X97" s="460">
        <v>-2231</v>
      </c>
      <c r="Y97" s="460">
        <v>-2426</v>
      </c>
      <c r="Z97" s="460">
        <v>-2450</v>
      </c>
      <c r="AA97" s="460">
        <v>-2614</v>
      </c>
      <c r="AB97" s="460">
        <v>-9721</v>
      </c>
      <c r="AC97" s="469"/>
      <c r="AD97" s="460">
        <v>-2451</v>
      </c>
      <c r="AE97" s="460">
        <v>-2420</v>
      </c>
      <c r="AF97" s="460">
        <v>-2340</v>
      </c>
      <c r="AG97" s="460">
        <v>-2819</v>
      </c>
      <c r="AH97" s="460">
        <v>-10030</v>
      </c>
      <c r="AI97" s="469"/>
      <c r="AJ97" s="460">
        <v>-2500</v>
      </c>
      <c r="AK97" s="460">
        <v>-2749</v>
      </c>
      <c r="AL97" s="460">
        <v>-2733</v>
      </c>
      <c r="AM97" s="460">
        <v>-3225</v>
      </c>
      <c r="AN97" s="460">
        <v>-11207</v>
      </c>
      <c r="AO97" s="469"/>
      <c r="AP97" s="460">
        <v>-2873</v>
      </c>
      <c r="AQ97" s="460">
        <v>-3566</v>
      </c>
      <c r="AR97" s="460">
        <v>-2910</v>
      </c>
      <c r="AS97" s="460">
        <v>-2979</v>
      </c>
      <c r="AT97" s="460">
        <v>-12328</v>
      </c>
    </row>
    <row r="98" spans="1:46" s="172" customFormat="1" ht="15" hidden="1" customHeight="1" outlineLevel="1" x14ac:dyDescent="0.25">
      <c r="A98" s="168" t="str">
        <f>IF(Contents!$A$1=2,"Mineral extraction taxes","Налог на добычу полезных ископаемых")</f>
        <v>Налог на добычу полезных ископаемых</v>
      </c>
      <c r="B98" s="255" t="str">
        <f>IF(Contents!$A$1=2,"mln RUB","млн руб.")</f>
        <v>млн руб.</v>
      </c>
      <c r="C98" s="173"/>
      <c r="D98" s="428">
        <v>0</v>
      </c>
      <c r="E98" s="469"/>
      <c r="F98" s="428">
        <v>0</v>
      </c>
      <c r="G98" s="428">
        <v>0</v>
      </c>
      <c r="H98" s="428">
        <v>0</v>
      </c>
      <c r="I98" s="428">
        <v>0</v>
      </c>
      <c r="J98" s="428">
        <v>0</v>
      </c>
      <c r="K98" s="469"/>
      <c r="L98" s="428">
        <v>0</v>
      </c>
      <c r="M98" s="428">
        <v>0</v>
      </c>
      <c r="N98" s="428">
        <v>0</v>
      </c>
      <c r="O98" s="428">
        <v>0</v>
      </c>
      <c r="P98" s="428">
        <v>0</v>
      </c>
      <c r="Q98" s="469"/>
      <c r="R98" s="428">
        <v>0</v>
      </c>
      <c r="S98" s="428">
        <v>0</v>
      </c>
      <c r="T98" s="428">
        <v>0</v>
      </c>
      <c r="U98" s="428">
        <v>0</v>
      </c>
      <c r="V98" s="428">
        <v>0</v>
      </c>
      <c r="W98" s="469"/>
      <c r="X98" s="428">
        <v>0</v>
      </c>
      <c r="Y98" s="428">
        <v>0</v>
      </c>
      <c r="Z98" s="428">
        <v>0</v>
      </c>
      <c r="AA98" s="428">
        <v>0</v>
      </c>
      <c r="AB98" s="428">
        <v>0</v>
      </c>
      <c r="AC98" s="469"/>
      <c r="AD98" s="427">
        <v>0</v>
      </c>
      <c r="AE98" s="428">
        <v>0</v>
      </c>
      <c r="AF98" s="428">
        <v>0</v>
      </c>
      <c r="AG98" s="427">
        <v>-22</v>
      </c>
      <c r="AH98" s="427">
        <v>-22</v>
      </c>
      <c r="AI98" s="428"/>
      <c r="AJ98" s="427">
        <v>-6</v>
      </c>
      <c r="AK98" s="427">
        <v>-6</v>
      </c>
      <c r="AL98" s="427">
        <v>-7</v>
      </c>
      <c r="AM98" s="427">
        <v>-4</v>
      </c>
      <c r="AN98" s="427">
        <v>-23</v>
      </c>
      <c r="AO98" s="428"/>
      <c r="AP98" s="427">
        <v>-6</v>
      </c>
      <c r="AQ98" s="427">
        <v>-7</v>
      </c>
      <c r="AR98" s="427">
        <v>-7</v>
      </c>
      <c r="AS98" s="427">
        <v>-6</v>
      </c>
      <c r="AT98" s="427">
        <v>-26</v>
      </c>
    </row>
    <row r="99" spans="1:46" s="170" customFormat="1" ht="15" hidden="1" customHeight="1" outlineLevel="1" x14ac:dyDescent="0.25">
      <c r="A99" s="168" t="str">
        <f>IF(Contents!$A$1=2,"Statutory insurance contributions and social taxes","Страховые взносы и социальные налоги")</f>
        <v>Страховые взносы и социальные налоги</v>
      </c>
      <c r="B99" s="255" t="str">
        <f>IF(Contents!$A$1=2,"mln RUB","млн руб.")</f>
        <v>млн руб.</v>
      </c>
      <c r="C99" s="171"/>
      <c r="D99" s="427">
        <v>-4506</v>
      </c>
      <c r="E99" s="428"/>
      <c r="F99" s="427">
        <v>-1475</v>
      </c>
      <c r="G99" s="427">
        <v>-1319</v>
      </c>
      <c r="H99" s="427">
        <v>-1477</v>
      </c>
      <c r="I99" s="427">
        <v>-1541</v>
      </c>
      <c r="J99" s="427">
        <v>-5812</v>
      </c>
      <c r="K99" s="428"/>
      <c r="L99" s="427">
        <v>-1573</v>
      </c>
      <c r="M99" s="427">
        <v>-1586</v>
      </c>
      <c r="N99" s="427">
        <v>-1410</v>
      </c>
      <c r="O99" s="427">
        <v>-1447</v>
      </c>
      <c r="P99" s="427">
        <v>-6016</v>
      </c>
      <c r="Q99" s="428"/>
      <c r="R99" s="427">
        <v>-1251</v>
      </c>
      <c r="S99" s="427">
        <v>-1297</v>
      </c>
      <c r="T99" s="427">
        <v>-1416</v>
      </c>
      <c r="U99" s="427">
        <v>-2246</v>
      </c>
      <c r="V99" s="427">
        <v>-6210</v>
      </c>
      <c r="W99" s="428"/>
      <c r="X99" s="427">
        <v>-1465</v>
      </c>
      <c r="Y99" s="427">
        <v>-1498</v>
      </c>
      <c r="Z99" s="427">
        <v>-1468</v>
      </c>
      <c r="AA99" s="427">
        <v>-1594</v>
      </c>
      <c r="AB99" s="427">
        <v>-6025</v>
      </c>
      <c r="AC99" s="428"/>
      <c r="AD99" s="427">
        <v>-1522</v>
      </c>
      <c r="AE99" s="427">
        <v>-1473</v>
      </c>
      <c r="AF99" s="427">
        <v>-1317</v>
      </c>
      <c r="AG99" s="427">
        <v>-1797</v>
      </c>
      <c r="AH99" s="427">
        <v>-6109</v>
      </c>
      <c r="AI99" s="428"/>
      <c r="AJ99" s="427">
        <v>-1450</v>
      </c>
      <c r="AK99" s="427">
        <v>-1653</v>
      </c>
      <c r="AL99" s="427">
        <v>-1674</v>
      </c>
      <c r="AM99" s="427">
        <v>-1849</v>
      </c>
      <c r="AN99" s="427">
        <v>-6626</v>
      </c>
      <c r="AO99" s="428"/>
      <c r="AP99" s="427">
        <v>-1742</v>
      </c>
      <c r="AQ99" s="427">
        <v>-2340</v>
      </c>
      <c r="AR99" s="427">
        <v>-1585</v>
      </c>
      <c r="AS99" s="427">
        <v>-1805</v>
      </c>
      <c r="AT99" s="427">
        <v>-7472</v>
      </c>
    </row>
    <row r="100" spans="1:46" s="170" customFormat="1" ht="15" hidden="1" customHeight="1" outlineLevel="1" x14ac:dyDescent="0.25">
      <c r="A100" s="168" t="str">
        <f>IF(Contents!$A$1=2,"Property tax","Налог на имущество")</f>
        <v>Налог на имущество</v>
      </c>
      <c r="B100" s="255" t="str">
        <f>IF(Contents!$A$1=2,"mln RUB","млн руб.")</f>
        <v>млн руб.</v>
      </c>
      <c r="C100" s="171"/>
      <c r="D100" s="427">
        <v>-1268</v>
      </c>
      <c r="E100" s="428"/>
      <c r="F100" s="427">
        <v>-491</v>
      </c>
      <c r="G100" s="427">
        <v>-258</v>
      </c>
      <c r="H100" s="427">
        <v>-651</v>
      </c>
      <c r="I100" s="427">
        <v>-516</v>
      </c>
      <c r="J100" s="427">
        <v>-1916</v>
      </c>
      <c r="K100" s="428"/>
      <c r="L100" s="427">
        <v>-526</v>
      </c>
      <c r="M100" s="427">
        <v>-38</v>
      </c>
      <c r="N100" s="427">
        <v>-305</v>
      </c>
      <c r="O100" s="427">
        <v>-253</v>
      </c>
      <c r="P100" s="427">
        <v>-1122</v>
      </c>
      <c r="Q100" s="428"/>
      <c r="R100" s="427">
        <v>-170</v>
      </c>
      <c r="S100" s="427">
        <v>-236</v>
      </c>
      <c r="T100" s="427">
        <v>-209</v>
      </c>
      <c r="U100" s="427">
        <v>-295</v>
      </c>
      <c r="V100" s="427">
        <v>-910</v>
      </c>
      <c r="W100" s="428"/>
      <c r="X100" s="427">
        <v>-194</v>
      </c>
      <c r="Y100" s="427">
        <v>-227</v>
      </c>
      <c r="Z100" s="427">
        <v>-229</v>
      </c>
      <c r="AA100" s="427">
        <v>-254</v>
      </c>
      <c r="AB100" s="427">
        <v>-904</v>
      </c>
      <c r="AC100" s="428"/>
      <c r="AD100" s="427">
        <v>-232</v>
      </c>
      <c r="AE100" s="427">
        <v>-215</v>
      </c>
      <c r="AF100" s="427">
        <v>-222</v>
      </c>
      <c r="AG100" s="427">
        <v>-237</v>
      </c>
      <c r="AH100" s="427">
        <v>-906</v>
      </c>
      <c r="AI100" s="428"/>
      <c r="AJ100" s="427">
        <v>-205</v>
      </c>
      <c r="AK100" s="427">
        <v>-234</v>
      </c>
      <c r="AL100" s="427">
        <v>-235</v>
      </c>
      <c r="AM100" s="427">
        <v>-331</v>
      </c>
      <c r="AN100" s="427">
        <v>-1005</v>
      </c>
      <c r="AO100" s="428"/>
      <c r="AP100" s="427">
        <v>-295</v>
      </c>
      <c r="AQ100" s="427">
        <v>-206</v>
      </c>
      <c r="AR100" s="427">
        <v>-285</v>
      </c>
      <c r="AS100" s="427">
        <v>-317</v>
      </c>
      <c r="AT100" s="427">
        <v>-1103</v>
      </c>
    </row>
    <row r="101" spans="1:46" s="170" customFormat="1" ht="15" hidden="1" customHeight="1" outlineLevel="1" x14ac:dyDescent="0.25">
      <c r="A101" s="168" t="str">
        <f>IF(Contents!$A$1=2,"Other taxes","Прочие налоги и отчисления")</f>
        <v>Прочие налоги и отчисления</v>
      </c>
      <c r="B101" s="255" t="str">
        <f>IF(Contents!$A$1=2,"mln RUB","млн руб.")</f>
        <v>млн руб.</v>
      </c>
      <c r="C101" s="171"/>
      <c r="D101" s="427">
        <v>-2866</v>
      </c>
      <c r="E101" s="428"/>
      <c r="F101" s="427">
        <v>-838</v>
      </c>
      <c r="G101" s="427">
        <v>-620</v>
      </c>
      <c r="H101" s="427">
        <v>-666</v>
      </c>
      <c r="I101" s="427">
        <v>-749</v>
      </c>
      <c r="J101" s="427">
        <v>-2873</v>
      </c>
      <c r="K101" s="428"/>
      <c r="L101" s="427">
        <v>-696</v>
      </c>
      <c r="M101" s="427">
        <v>-849</v>
      </c>
      <c r="N101" s="427">
        <v>-781</v>
      </c>
      <c r="O101" s="427">
        <v>-1337</v>
      </c>
      <c r="P101" s="427">
        <v>-3663</v>
      </c>
      <c r="Q101" s="428"/>
      <c r="R101" s="427">
        <v>-587</v>
      </c>
      <c r="S101" s="427">
        <v>-618</v>
      </c>
      <c r="T101" s="427">
        <v>-604</v>
      </c>
      <c r="U101" s="427">
        <v>-511</v>
      </c>
      <c r="V101" s="427">
        <v>-2320</v>
      </c>
      <c r="W101" s="428"/>
      <c r="X101" s="427">
        <v>-572</v>
      </c>
      <c r="Y101" s="427">
        <v>-701</v>
      </c>
      <c r="Z101" s="427">
        <v>-753</v>
      </c>
      <c r="AA101" s="427">
        <v>-766</v>
      </c>
      <c r="AB101" s="427">
        <v>-2792</v>
      </c>
      <c r="AC101" s="428"/>
      <c r="AD101" s="427">
        <v>-697</v>
      </c>
      <c r="AE101" s="427">
        <v>-732</v>
      </c>
      <c r="AF101" s="427">
        <v>-801</v>
      </c>
      <c r="AG101" s="427">
        <v>-763</v>
      </c>
      <c r="AH101" s="427">
        <v>-2993</v>
      </c>
      <c r="AI101" s="428"/>
      <c r="AJ101" s="427">
        <v>-839</v>
      </c>
      <c r="AK101" s="427">
        <v>-856</v>
      </c>
      <c r="AL101" s="427">
        <v>-817</v>
      </c>
      <c r="AM101" s="427">
        <v>-1041</v>
      </c>
      <c r="AN101" s="427">
        <v>-3553</v>
      </c>
      <c r="AO101" s="428"/>
      <c r="AP101" s="427">
        <v>-830</v>
      </c>
      <c r="AQ101" s="427">
        <v>-1013</v>
      </c>
      <c r="AR101" s="427">
        <v>-1033</v>
      </c>
      <c r="AS101" s="427">
        <v>-851</v>
      </c>
      <c r="AT101" s="427">
        <v>-3727</v>
      </c>
    </row>
    <row r="102" spans="1:46" ht="15" customHeight="1" collapsed="1" x14ac:dyDescent="0.2">
      <c r="A102" s="100" t="str">
        <f>IF(Contents!$A$1=2,"Excise and export tariffs","Акцизы и экспортные пошлины")</f>
        <v>Акцизы и экспортные пошлины</v>
      </c>
      <c r="B102" s="250" t="str">
        <f>IF(Contents!$A$1=2,"mln RUB","млн руб.")</f>
        <v>млн руб.</v>
      </c>
      <c r="C102" s="82"/>
      <c r="D102" s="474">
        <v>-807401</v>
      </c>
      <c r="E102" s="470"/>
      <c r="F102" s="474">
        <v>-172849</v>
      </c>
      <c r="G102" s="474">
        <v>-123609</v>
      </c>
      <c r="H102" s="474">
        <v>-145685</v>
      </c>
      <c r="I102" s="474">
        <v>-133366</v>
      </c>
      <c r="J102" s="474">
        <v>-575509</v>
      </c>
      <c r="K102" s="470"/>
      <c r="L102" s="474">
        <v>-114949</v>
      </c>
      <c r="M102" s="474">
        <v>-113820</v>
      </c>
      <c r="N102" s="474">
        <v>-129440</v>
      </c>
      <c r="O102" s="474">
        <v>-125104</v>
      </c>
      <c r="P102" s="474">
        <v>-483313</v>
      </c>
      <c r="Q102" s="470"/>
      <c r="R102" s="474">
        <v>-109447</v>
      </c>
      <c r="S102" s="474">
        <v>-115328</v>
      </c>
      <c r="T102" s="474">
        <v>-116820</v>
      </c>
      <c r="U102" s="474">
        <v>-119930</v>
      </c>
      <c r="V102" s="474">
        <v>-461525</v>
      </c>
      <c r="W102" s="470"/>
      <c r="X102" s="474">
        <v>-121191</v>
      </c>
      <c r="Y102" s="474">
        <v>-137402</v>
      </c>
      <c r="Z102" s="474">
        <v>-151765</v>
      </c>
      <c r="AA102" s="474">
        <v>-146469</v>
      </c>
      <c r="AB102" s="474">
        <v>-556827</v>
      </c>
      <c r="AC102" s="470"/>
      <c r="AD102" s="474">
        <v>-111456</v>
      </c>
      <c r="AE102" s="474">
        <v>-101200</v>
      </c>
      <c r="AF102" s="474">
        <v>-108573</v>
      </c>
      <c r="AG102" s="474">
        <v>-104534</v>
      </c>
      <c r="AH102" s="474">
        <v>-425763</v>
      </c>
      <c r="AI102" s="470"/>
      <c r="AJ102" s="474">
        <v>-112679</v>
      </c>
      <c r="AK102" s="474">
        <v>-113511</v>
      </c>
      <c r="AL102" s="474">
        <v>-113950</v>
      </c>
      <c r="AM102" s="474">
        <v>-104160</v>
      </c>
      <c r="AN102" s="474">
        <v>-444300</v>
      </c>
      <c r="AO102" s="470"/>
      <c r="AP102" s="474">
        <v>-65865</v>
      </c>
      <c r="AQ102" s="474">
        <v>-63231</v>
      </c>
      <c r="AR102" s="474">
        <v>-52142</v>
      </c>
      <c r="AS102" s="474">
        <v>-33195</v>
      </c>
      <c r="AT102" s="474">
        <v>-214433</v>
      </c>
    </row>
    <row r="103" spans="1:46" s="175" customFormat="1" ht="15" hidden="1" customHeight="1" outlineLevel="1" x14ac:dyDescent="0.25">
      <c r="A103" s="184" t="str">
        <f>IF(Contents!$A$1=2,"Total in Russia","Итого в России")</f>
        <v>Итого в России</v>
      </c>
      <c r="B103" s="258" t="str">
        <f>IF(Contents!$A$1=2,"mln RUB","млн руб.")</f>
        <v>млн руб.</v>
      </c>
      <c r="C103" s="176"/>
      <c r="D103" s="460">
        <v>-654347</v>
      </c>
      <c r="E103" s="469"/>
      <c r="F103" s="460">
        <v>-126619</v>
      </c>
      <c r="G103" s="460">
        <v>-83051</v>
      </c>
      <c r="H103" s="460">
        <v>-91930</v>
      </c>
      <c r="I103" s="460">
        <v>-79621</v>
      </c>
      <c r="J103" s="460">
        <v>-381221</v>
      </c>
      <c r="K103" s="469"/>
      <c r="L103" s="460">
        <v>-63609</v>
      </c>
      <c r="M103" s="460">
        <v>-63623</v>
      </c>
      <c r="N103" s="460">
        <v>-77433</v>
      </c>
      <c r="O103" s="460">
        <v>-81597</v>
      </c>
      <c r="P103" s="460">
        <v>-286262</v>
      </c>
      <c r="Q103" s="469"/>
      <c r="R103" s="460">
        <v>-75887</v>
      </c>
      <c r="S103" s="460">
        <v>-75322</v>
      </c>
      <c r="T103" s="460">
        <v>-70003</v>
      </c>
      <c r="U103" s="460">
        <v>-76686</v>
      </c>
      <c r="V103" s="460">
        <v>-297898</v>
      </c>
      <c r="W103" s="469"/>
      <c r="X103" s="460">
        <v>-81640</v>
      </c>
      <c r="Y103" s="460">
        <v>-89275</v>
      </c>
      <c r="Z103" s="460">
        <v>-102502</v>
      </c>
      <c r="AA103" s="460">
        <v>-98825</v>
      </c>
      <c r="AB103" s="460">
        <v>-372242</v>
      </c>
      <c r="AC103" s="469"/>
      <c r="AD103" s="460">
        <v>-67688</v>
      </c>
      <c r="AE103" s="460">
        <v>-54560</v>
      </c>
      <c r="AF103" s="460">
        <v>-58458</v>
      </c>
      <c r="AG103" s="460">
        <v>-59184</v>
      </c>
      <c r="AH103" s="460">
        <v>-239890</v>
      </c>
      <c r="AI103" s="469"/>
      <c r="AJ103" s="460">
        <v>-74725</v>
      </c>
      <c r="AK103" s="460">
        <v>-73119</v>
      </c>
      <c r="AL103" s="460">
        <v>-60869</v>
      </c>
      <c r="AM103" s="460">
        <v>-56140</v>
      </c>
      <c r="AN103" s="460">
        <v>-264853</v>
      </c>
      <c r="AO103" s="469"/>
      <c r="AP103" s="460">
        <v>-19551</v>
      </c>
      <c r="AQ103" s="460">
        <v>-12339</v>
      </c>
      <c r="AR103" s="460">
        <v>3561</v>
      </c>
      <c r="AS103" s="460">
        <v>10931</v>
      </c>
      <c r="AT103" s="460">
        <v>-17398</v>
      </c>
    </row>
    <row r="104" spans="1:46" s="174" customFormat="1" ht="15" hidden="1" customHeight="1" outlineLevel="1" x14ac:dyDescent="0.25">
      <c r="A104" s="168" t="str">
        <f>IF(Contents!$A$1=2,"Excise tax on refined products","Акциз на нефтепродукты")</f>
        <v>Акциз на нефтепродукты</v>
      </c>
      <c r="B104" s="255" t="str">
        <f>IF(Contents!$A$1=2,"mln RUB","млн руб.")</f>
        <v>млн руб.</v>
      </c>
      <c r="C104" s="169"/>
      <c r="D104" s="427">
        <v>-71093</v>
      </c>
      <c r="E104" s="428"/>
      <c r="F104" s="427">
        <v>-12300</v>
      </c>
      <c r="G104" s="427">
        <v>-13373</v>
      </c>
      <c r="H104" s="427">
        <v>-14541</v>
      </c>
      <c r="I104" s="427">
        <v>-15237</v>
      </c>
      <c r="J104" s="427">
        <v>-55451</v>
      </c>
      <c r="K104" s="428"/>
      <c r="L104" s="427">
        <v>-16591</v>
      </c>
      <c r="M104" s="427">
        <v>-23591</v>
      </c>
      <c r="N104" s="427">
        <v>-28316</v>
      </c>
      <c r="O104" s="427">
        <v>-27194</v>
      </c>
      <c r="P104" s="427">
        <v>-95692</v>
      </c>
      <c r="Q104" s="428"/>
      <c r="R104" s="427">
        <v>-25906</v>
      </c>
      <c r="S104" s="427">
        <v>-28994</v>
      </c>
      <c r="T104" s="427">
        <v>-33576</v>
      </c>
      <c r="U104" s="427">
        <v>-30676</v>
      </c>
      <c r="V104" s="427">
        <v>-119152</v>
      </c>
      <c r="W104" s="428"/>
      <c r="X104" s="427">
        <v>-31341</v>
      </c>
      <c r="Y104" s="427">
        <v>-31330</v>
      </c>
      <c r="Z104" s="427">
        <v>-28358</v>
      </c>
      <c r="AA104" s="427">
        <v>-22450</v>
      </c>
      <c r="AB104" s="427">
        <v>-113479</v>
      </c>
      <c r="AC104" s="428"/>
      <c r="AD104" s="427">
        <v>-30547</v>
      </c>
      <c r="AE104" s="427">
        <v>-35480</v>
      </c>
      <c r="AF104" s="427">
        <v>-39133</v>
      </c>
      <c r="AG104" s="427">
        <v>-35499</v>
      </c>
      <c r="AH104" s="427">
        <v>-140659</v>
      </c>
      <c r="AI104" s="428"/>
      <c r="AJ104" s="427">
        <v>-32084.000000000004</v>
      </c>
      <c r="AK104" s="427">
        <v>-29613</v>
      </c>
      <c r="AL104" s="427">
        <v>-39168</v>
      </c>
      <c r="AM104" s="427">
        <v>-31438</v>
      </c>
      <c r="AN104" s="427">
        <v>-132303</v>
      </c>
      <c r="AO104" s="428"/>
      <c r="AP104" s="427">
        <v>-32344</v>
      </c>
      <c r="AQ104" s="427">
        <v>-40358</v>
      </c>
      <c r="AR104" s="427">
        <v>-47425</v>
      </c>
      <c r="AS104" s="427">
        <v>-46531</v>
      </c>
      <c r="AT104" s="427">
        <v>-166658</v>
      </c>
    </row>
    <row r="105" spans="1:46" s="174" customFormat="1" ht="15" hidden="1" customHeight="1" outlineLevel="1" x14ac:dyDescent="0.25">
      <c r="A105" s="168" t="str">
        <f>IF(Contents!$A$1=2,"Excise tax on oil feedstock (excluding damper)","Акциз на нефтяное сырье (без демпфера)")</f>
        <v>Акциз на нефтяное сырье (без демпфера)</v>
      </c>
      <c r="B105" s="255" t="str">
        <f>IF(Contents!$A$1=2,"mln RUB","млн руб.")</f>
        <v>млн руб.</v>
      </c>
      <c r="C105" s="169"/>
      <c r="D105" s="428">
        <v>0</v>
      </c>
      <c r="E105" s="428"/>
      <c r="F105" s="428">
        <v>0</v>
      </c>
      <c r="G105" s="428">
        <v>0</v>
      </c>
      <c r="H105" s="428">
        <v>0</v>
      </c>
      <c r="I105" s="428">
        <v>0</v>
      </c>
      <c r="J105" s="428">
        <v>0</v>
      </c>
      <c r="K105" s="428"/>
      <c r="L105" s="428">
        <v>0</v>
      </c>
      <c r="M105" s="428">
        <v>0</v>
      </c>
      <c r="N105" s="428">
        <v>0</v>
      </c>
      <c r="O105" s="428">
        <v>0</v>
      </c>
      <c r="P105" s="428">
        <v>0</v>
      </c>
      <c r="Q105" s="428"/>
      <c r="R105" s="428">
        <v>0</v>
      </c>
      <c r="S105" s="428">
        <v>0</v>
      </c>
      <c r="T105" s="428">
        <v>0</v>
      </c>
      <c r="U105" s="428">
        <v>0</v>
      </c>
      <c r="V105" s="428">
        <v>0</v>
      </c>
      <c r="W105" s="428"/>
      <c r="X105" s="428">
        <v>0</v>
      </c>
      <c r="Y105" s="428">
        <v>0</v>
      </c>
      <c r="Z105" s="428">
        <v>0</v>
      </c>
      <c r="AA105" s="428">
        <v>0</v>
      </c>
      <c r="AB105" s="428">
        <v>0</v>
      </c>
      <c r="AC105" s="428"/>
      <c r="AD105" s="427">
        <v>7840</v>
      </c>
      <c r="AE105" s="427">
        <v>8059</v>
      </c>
      <c r="AF105" s="427">
        <v>7932</v>
      </c>
      <c r="AG105" s="427">
        <v>7381</v>
      </c>
      <c r="AH105" s="427">
        <v>31212</v>
      </c>
      <c r="AI105" s="428"/>
      <c r="AJ105" s="427">
        <v>11221</v>
      </c>
      <c r="AK105" s="427">
        <v>6364</v>
      </c>
      <c r="AL105" s="427">
        <v>10515</v>
      </c>
      <c r="AM105" s="427">
        <v>9781</v>
      </c>
      <c r="AN105" s="427">
        <v>37881</v>
      </c>
      <c r="AO105" s="428"/>
      <c r="AP105" s="427">
        <v>23662</v>
      </c>
      <c r="AQ105" s="427">
        <v>28504</v>
      </c>
      <c r="AR105" s="427">
        <v>33352</v>
      </c>
      <c r="AS105" s="427">
        <v>38655</v>
      </c>
      <c r="AT105" s="427">
        <v>124173</v>
      </c>
    </row>
    <row r="106" spans="1:46" s="174" customFormat="1" ht="15" hidden="1" customHeight="1" outlineLevel="1" x14ac:dyDescent="0.25">
      <c r="A106" s="168" t="str">
        <f>IF(Contents!$A$1=2,"Damper","Демпфирующий фактор")</f>
        <v>Демпфирующий фактор</v>
      </c>
      <c r="B106" s="255" t="str">
        <f>IF(Contents!$A$1=2,"mln RUB","млн руб.")</f>
        <v>млн руб.</v>
      </c>
      <c r="C106" s="169"/>
      <c r="D106" s="428">
        <v>0</v>
      </c>
      <c r="E106" s="428"/>
      <c r="F106" s="428">
        <v>0</v>
      </c>
      <c r="G106" s="428">
        <v>0</v>
      </c>
      <c r="H106" s="428">
        <v>0</v>
      </c>
      <c r="I106" s="428">
        <v>0</v>
      </c>
      <c r="J106" s="428">
        <v>0</v>
      </c>
      <c r="K106" s="428"/>
      <c r="L106" s="428">
        <v>0</v>
      </c>
      <c r="M106" s="428">
        <v>0</v>
      </c>
      <c r="N106" s="428">
        <v>0</v>
      </c>
      <c r="O106" s="428">
        <v>0</v>
      </c>
      <c r="P106" s="428">
        <v>0</v>
      </c>
      <c r="Q106" s="428"/>
      <c r="R106" s="428">
        <v>0</v>
      </c>
      <c r="S106" s="428">
        <v>0</v>
      </c>
      <c r="T106" s="428">
        <v>0</v>
      </c>
      <c r="U106" s="428">
        <v>0</v>
      </c>
      <c r="V106" s="428">
        <v>0</v>
      </c>
      <c r="W106" s="428"/>
      <c r="X106" s="428">
        <v>0</v>
      </c>
      <c r="Y106" s="428">
        <v>0</v>
      </c>
      <c r="Z106" s="428">
        <v>0</v>
      </c>
      <c r="AA106" s="428">
        <v>0</v>
      </c>
      <c r="AB106" s="428">
        <v>0</v>
      </c>
      <c r="AC106" s="428"/>
      <c r="AD106" s="427">
        <v>5978</v>
      </c>
      <c r="AE106" s="427">
        <v>20973</v>
      </c>
      <c r="AF106" s="427">
        <v>17927</v>
      </c>
      <c r="AG106" s="427">
        <v>12359</v>
      </c>
      <c r="AH106" s="427">
        <v>57237</v>
      </c>
      <c r="AI106" s="428"/>
      <c r="AJ106" s="427">
        <v>-12524</v>
      </c>
      <c r="AK106" s="427">
        <v>-30421</v>
      </c>
      <c r="AL106" s="427">
        <v>-18334</v>
      </c>
      <c r="AM106" s="427">
        <v>-11807</v>
      </c>
      <c r="AN106" s="427">
        <v>-73086</v>
      </c>
      <c r="AO106" s="428"/>
      <c r="AP106" s="427">
        <v>7976</v>
      </c>
      <c r="AQ106" s="427">
        <v>31733</v>
      </c>
      <c r="AR106" s="427">
        <v>49203</v>
      </c>
      <c r="AS106" s="427">
        <v>59565</v>
      </c>
      <c r="AT106" s="427">
        <v>148477</v>
      </c>
    </row>
    <row r="107" spans="1:46" s="174" customFormat="1" ht="15" hidden="1" customHeight="1" outlineLevel="1" x14ac:dyDescent="0.25">
      <c r="A107" s="168" t="str">
        <f>IF(Contents!$A$1=2,"Crude oil еxport tariffs","Экспортные пошлины на нефть")</f>
        <v>Экспортные пошлины на нефть</v>
      </c>
      <c r="B107" s="255" t="str">
        <f>IF(Contents!$A$1=2,"mln RUB","млн руб.")</f>
        <v>млн руб.</v>
      </c>
      <c r="C107" s="169"/>
      <c r="D107" s="427">
        <v>-353109</v>
      </c>
      <c r="E107" s="428"/>
      <c r="F107" s="427">
        <v>-69257</v>
      </c>
      <c r="G107" s="427">
        <v>-50566</v>
      </c>
      <c r="H107" s="427">
        <v>-48728</v>
      </c>
      <c r="I107" s="427">
        <v>-44348</v>
      </c>
      <c r="J107" s="427">
        <v>-212899</v>
      </c>
      <c r="K107" s="428"/>
      <c r="L107" s="427">
        <v>-31492</v>
      </c>
      <c r="M107" s="427">
        <v>-30872</v>
      </c>
      <c r="N107" s="427">
        <v>-33916</v>
      </c>
      <c r="O107" s="427">
        <v>-39846</v>
      </c>
      <c r="P107" s="427">
        <v>-136126</v>
      </c>
      <c r="Q107" s="428"/>
      <c r="R107" s="427">
        <v>-36784</v>
      </c>
      <c r="S107" s="427">
        <v>-35782</v>
      </c>
      <c r="T107" s="427">
        <v>-29419</v>
      </c>
      <c r="U107" s="427">
        <v>-35394</v>
      </c>
      <c r="V107" s="427">
        <v>-137379</v>
      </c>
      <c r="W107" s="428"/>
      <c r="X107" s="427">
        <v>-36765</v>
      </c>
      <c r="Y107" s="427">
        <v>-48127</v>
      </c>
      <c r="Z107" s="427">
        <v>-59525</v>
      </c>
      <c r="AA107" s="427">
        <v>-58893</v>
      </c>
      <c r="AB107" s="427">
        <v>-203310</v>
      </c>
      <c r="AC107" s="428"/>
      <c r="AD107" s="427">
        <v>-37493</v>
      </c>
      <c r="AE107" s="427">
        <v>-38019</v>
      </c>
      <c r="AF107" s="427">
        <v>-33498</v>
      </c>
      <c r="AG107" s="427">
        <v>-32612</v>
      </c>
      <c r="AH107" s="427">
        <v>-141622</v>
      </c>
      <c r="AI107" s="428"/>
      <c r="AJ107" s="427">
        <v>-32151.000000000004</v>
      </c>
      <c r="AK107" s="427">
        <v>-14677</v>
      </c>
      <c r="AL107" s="427">
        <v>-9162</v>
      </c>
      <c r="AM107" s="427">
        <v>-14895</v>
      </c>
      <c r="AN107" s="427">
        <v>-70885</v>
      </c>
      <c r="AO107" s="428"/>
      <c r="AP107" s="427">
        <v>-12398</v>
      </c>
      <c r="AQ107" s="427">
        <v>-22190</v>
      </c>
      <c r="AR107" s="427">
        <v>-21755</v>
      </c>
      <c r="AS107" s="427">
        <v>-29272</v>
      </c>
      <c r="AT107" s="427">
        <v>-85615</v>
      </c>
    </row>
    <row r="108" spans="1:46" s="174" customFormat="1" ht="15" hidden="1" customHeight="1" outlineLevel="1" x14ac:dyDescent="0.25">
      <c r="A108" s="168" t="str">
        <f>IF(Contents!$A$1=2,"Refined products еxport tariffs","Экспортные пошлины на нефтепродукты")</f>
        <v>Экспортные пошлины на нефтепродукты</v>
      </c>
      <c r="B108" s="255" t="str">
        <f>IF(Contents!$A$1=2,"mln RUB","млн руб.")</f>
        <v>млн руб.</v>
      </c>
      <c r="C108" s="169"/>
      <c r="D108" s="427">
        <v>-230145</v>
      </c>
      <c r="E108" s="428"/>
      <c r="F108" s="427">
        <v>-45062</v>
      </c>
      <c r="G108" s="427">
        <v>-19112</v>
      </c>
      <c r="H108" s="427">
        <v>-28661</v>
      </c>
      <c r="I108" s="427">
        <v>-20036</v>
      </c>
      <c r="J108" s="427">
        <v>-112871</v>
      </c>
      <c r="K108" s="428"/>
      <c r="L108" s="427">
        <v>-15526</v>
      </c>
      <c r="M108" s="427">
        <v>-9160</v>
      </c>
      <c r="N108" s="427">
        <v>-15201</v>
      </c>
      <c r="O108" s="427">
        <v>-14557</v>
      </c>
      <c r="P108" s="427">
        <v>-54444</v>
      </c>
      <c r="Q108" s="428"/>
      <c r="R108" s="427">
        <v>-13197</v>
      </c>
      <c r="S108" s="427">
        <v>-10546</v>
      </c>
      <c r="T108" s="427">
        <v>-7008</v>
      </c>
      <c r="U108" s="427">
        <v>-10616</v>
      </c>
      <c r="V108" s="427">
        <v>-41367</v>
      </c>
      <c r="W108" s="428"/>
      <c r="X108" s="427">
        <v>-13534</v>
      </c>
      <c r="Y108" s="427">
        <v>-9818</v>
      </c>
      <c r="Z108" s="427">
        <v>-14619</v>
      </c>
      <c r="AA108" s="427">
        <v>-17482</v>
      </c>
      <c r="AB108" s="427">
        <v>-55453</v>
      </c>
      <c r="AC108" s="428"/>
      <c r="AD108" s="427">
        <v>-13466</v>
      </c>
      <c r="AE108" s="427">
        <v>-10093</v>
      </c>
      <c r="AF108" s="427">
        <v>-11686</v>
      </c>
      <c r="AG108" s="427">
        <v>-10813</v>
      </c>
      <c r="AH108" s="427">
        <v>-46058</v>
      </c>
      <c r="AI108" s="428"/>
      <c r="AJ108" s="427">
        <v>-9187</v>
      </c>
      <c r="AK108" s="427">
        <v>-4772</v>
      </c>
      <c r="AL108" s="427">
        <v>-4720</v>
      </c>
      <c r="AM108" s="427">
        <v>-7781</v>
      </c>
      <c r="AN108" s="427">
        <v>-26460</v>
      </c>
      <c r="AO108" s="428"/>
      <c r="AP108" s="427">
        <v>-6447</v>
      </c>
      <c r="AQ108" s="427">
        <v>-10028</v>
      </c>
      <c r="AR108" s="427">
        <v>-9814</v>
      </c>
      <c r="AS108" s="427">
        <v>-11486</v>
      </c>
      <c r="AT108" s="427">
        <v>-37775</v>
      </c>
    </row>
    <row r="109" spans="1:46" s="175" customFormat="1" ht="15" hidden="1" customHeight="1" outlineLevel="1" x14ac:dyDescent="0.25">
      <c r="A109" s="184" t="str">
        <f>IF(Contents!$A$1=2,"Total internationally","Итого за рубежом")</f>
        <v>Итого за рубежом</v>
      </c>
      <c r="B109" s="258" t="str">
        <f>IF(Contents!$A$1=2,"mln RUB","млн руб.")</f>
        <v>млн руб.</v>
      </c>
      <c r="C109" s="176"/>
      <c r="D109" s="460">
        <v>-153054</v>
      </c>
      <c r="E109" s="469"/>
      <c r="F109" s="460">
        <v>-46230</v>
      </c>
      <c r="G109" s="460">
        <v>-40558</v>
      </c>
      <c r="H109" s="460">
        <v>-53755</v>
      </c>
      <c r="I109" s="460">
        <v>-53745</v>
      </c>
      <c r="J109" s="460">
        <v>-194288</v>
      </c>
      <c r="K109" s="469"/>
      <c r="L109" s="460">
        <v>-51340</v>
      </c>
      <c r="M109" s="460">
        <v>-50197</v>
      </c>
      <c r="N109" s="460">
        <v>-52007</v>
      </c>
      <c r="O109" s="460">
        <v>-43507</v>
      </c>
      <c r="P109" s="460">
        <v>-197051</v>
      </c>
      <c r="Q109" s="469"/>
      <c r="R109" s="460">
        <v>-33560</v>
      </c>
      <c r="S109" s="460">
        <v>-40006</v>
      </c>
      <c r="T109" s="460">
        <v>-46817</v>
      </c>
      <c r="U109" s="460">
        <v>-43244</v>
      </c>
      <c r="V109" s="460">
        <v>-163627</v>
      </c>
      <c r="W109" s="469"/>
      <c r="X109" s="460">
        <v>-39551</v>
      </c>
      <c r="Y109" s="460">
        <v>-48127</v>
      </c>
      <c r="Z109" s="460">
        <v>-49263</v>
      </c>
      <c r="AA109" s="460">
        <v>-47644</v>
      </c>
      <c r="AB109" s="460">
        <v>-184585</v>
      </c>
      <c r="AC109" s="469"/>
      <c r="AD109" s="460">
        <v>-43768</v>
      </c>
      <c r="AE109" s="460">
        <v>-46640</v>
      </c>
      <c r="AF109" s="460">
        <v>-50115</v>
      </c>
      <c r="AG109" s="460">
        <v>-45350</v>
      </c>
      <c r="AH109" s="460">
        <v>-185873</v>
      </c>
      <c r="AI109" s="469"/>
      <c r="AJ109" s="460">
        <v>-37954</v>
      </c>
      <c r="AK109" s="460">
        <v>-40392</v>
      </c>
      <c r="AL109" s="460">
        <v>-53081</v>
      </c>
      <c r="AM109" s="460">
        <v>-48020</v>
      </c>
      <c r="AN109" s="460">
        <v>-179447</v>
      </c>
      <c r="AO109" s="469"/>
      <c r="AP109" s="460">
        <v>-46314</v>
      </c>
      <c r="AQ109" s="460">
        <v>-50892</v>
      </c>
      <c r="AR109" s="460">
        <v>-55703</v>
      </c>
      <c r="AS109" s="460">
        <v>-44126</v>
      </c>
      <c r="AT109" s="460">
        <v>-197035</v>
      </c>
    </row>
    <row r="110" spans="1:46" s="174" customFormat="1" ht="15" hidden="1" customHeight="1" outlineLevel="1" x14ac:dyDescent="0.25">
      <c r="A110" s="168" t="str">
        <f>IF(Contents!$A$1=2,"Excise tax and sales taxes on refined products","Акциз и налог на реализацию нефтепродуктов")</f>
        <v>Акциз и налог на реализацию нефтепродуктов</v>
      </c>
      <c r="B110" s="255" t="str">
        <f>IF(Contents!$A$1=2,"mln RUB","млн руб.")</f>
        <v>млн руб.</v>
      </c>
      <c r="C110" s="169"/>
      <c r="D110" s="427">
        <v>-145098</v>
      </c>
      <c r="E110" s="428"/>
      <c r="F110" s="427">
        <v>-45538</v>
      </c>
      <c r="G110" s="427">
        <v>-40219</v>
      </c>
      <c r="H110" s="427">
        <v>-52984</v>
      </c>
      <c r="I110" s="427">
        <v>-53329</v>
      </c>
      <c r="J110" s="427">
        <v>-192070</v>
      </c>
      <c r="K110" s="428"/>
      <c r="L110" s="427">
        <v>-51217</v>
      </c>
      <c r="M110" s="427">
        <v>-50100</v>
      </c>
      <c r="N110" s="427">
        <v>-51877</v>
      </c>
      <c r="O110" s="427">
        <v>-43290</v>
      </c>
      <c r="P110" s="427">
        <v>-196484</v>
      </c>
      <c r="Q110" s="428"/>
      <c r="R110" s="427">
        <v>-33461</v>
      </c>
      <c r="S110" s="427">
        <v>-39830</v>
      </c>
      <c r="T110" s="427">
        <v>-46724</v>
      </c>
      <c r="U110" s="427">
        <v>-43147</v>
      </c>
      <c r="V110" s="427">
        <v>-163162</v>
      </c>
      <c r="W110" s="428"/>
      <c r="X110" s="427">
        <v>-39473</v>
      </c>
      <c r="Y110" s="427">
        <v>-48073</v>
      </c>
      <c r="Z110" s="427">
        <v>-49158</v>
      </c>
      <c r="AA110" s="427">
        <v>-47545</v>
      </c>
      <c r="AB110" s="427">
        <v>-184249</v>
      </c>
      <c r="AC110" s="428"/>
      <c r="AD110" s="427">
        <v>-43842</v>
      </c>
      <c r="AE110" s="427">
        <v>-46731</v>
      </c>
      <c r="AF110" s="427">
        <v>-50158</v>
      </c>
      <c r="AG110" s="427">
        <v>-45347</v>
      </c>
      <c r="AH110" s="427">
        <v>-186078</v>
      </c>
      <c r="AI110" s="428"/>
      <c r="AJ110" s="427">
        <v>-37934</v>
      </c>
      <c r="AK110" s="427">
        <v>-40368</v>
      </c>
      <c r="AL110" s="427">
        <v>-53002</v>
      </c>
      <c r="AM110" s="427">
        <v>-47875</v>
      </c>
      <c r="AN110" s="427">
        <v>-179179</v>
      </c>
      <c r="AO110" s="428"/>
      <c r="AP110" s="427">
        <v>-46302</v>
      </c>
      <c r="AQ110" s="427">
        <v>-50826</v>
      </c>
      <c r="AR110" s="427">
        <v>-55389</v>
      </c>
      <c r="AS110" s="427">
        <v>-43933</v>
      </c>
      <c r="AT110" s="427">
        <v>-196450</v>
      </c>
    </row>
    <row r="111" spans="1:46" s="174" customFormat="1" ht="15" hidden="1" customHeight="1" outlineLevel="1" x14ac:dyDescent="0.25">
      <c r="A111" s="168" t="str">
        <f>IF(Contents!$A$1=2,"Crude oil еxport tariffs","Экспортные пошлины на нефть")</f>
        <v>Экспортные пошлины на нефть</v>
      </c>
      <c r="B111" s="255" t="str">
        <f>IF(Contents!$A$1=2,"mln RUB","млн руб.")</f>
        <v>млн руб.</v>
      </c>
      <c r="C111" s="169"/>
      <c r="D111" s="427">
        <v>-57</v>
      </c>
      <c r="E111" s="428"/>
      <c r="F111" s="427">
        <v>-13</v>
      </c>
      <c r="G111" s="427">
        <v>-15</v>
      </c>
      <c r="H111" s="427">
        <v>-9</v>
      </c>
      <c r="I111" s="427">
        <v>-9</v>
      </c>
      <c r="J111" s="427">
        <v>-46</v>
      </c>
      <c r="K111" s="428"/>
      <c r="L111" s="427">
        <v>-9</v>
      </c>
      <c r="M111" s="427">
        <v>-12</v>
      </c>
      <c r="N111" s="427">
        <v>-16</v>
      </c>
      <c r="O111" s="427">
        <v>-44</v>
      </c>
      <c r="P111" s="427">
        <v>-81</v>
      </c>
      <c r="Q111" s="428"/>
      <c r="R111" s="427">
        <v>-18</v>
      </c>
      <c r="S111" s="427">
        <v>-91</v>
      </c>
      <c r="T111" s="427">
        <v>-9</v>
      </c>
      <c r="U111" s="427">
        <v>-16</v>
      </c>
      <c r="V111" s="427">
        <v>-134</v>
      </c>
      <c r="W111" s="428"/>
      <c r="X111" s="427">
        <v>-14</v>
      </c>
      <c r="Y111" s="427">
        <v>14</v>
      </c>
      <c r="Z111" s="427">
        <v>-22</v>
      </c>
      <c r="AA111" s="427">
        <v>-13</v>
      </c>
      <c r="AB111" s="427">
        <v>-35</v>
      </c>
      <c r="AC111" s="428"/>
      <c r="AD111" s="427">
        <v>-13</v>
      </c>
      <c r="AE111" s="427">
        <v>-16</v>
      </c>
      <c r="AF111" s="427">
        <v>-15</v>
      </c>
      <c r="AG111" s="427">
        <v>-7</v>
      </c>
      <c r="AH111" s="427">
        <v>-51</v>
      </c>
      <c r="AI111" s="428"/>
      <c r="AJ111" s="427">
        <v>-13</v>
      </c>
      <c r="AK111" s="427">
        <v>-6</v>
      </c>
      <c r="AL111" s="427">
        <v>-14</v>
      </c>
      <c r="AM111" s="427">
        <v>-15</v>
      </c>
      <c r="AN111" s="427">
        <v>-48</v>
      </c>
      <c r="AO111" s="428"/>
      <c r="AP111" s="427">
        <v>-20</v>
      </c>
      <c r="AQ111" s="427">
        <v>-13</v>
      </c>
      <c r="AR111" s="427">
        <v>-13</v>
      </c>
      <c r="AS111" s="427">
        <v>-20</v>
      </c>
      <c r="AT111" s="427">
        <v>-66</v>
      </c>
    </row>
    <row r="112" spans="1:46" s="174" customFormat="1" ht="15" hidden="1" customHeight="1" outlineLevel="1" x14ac:dyDescent="0.25">
      <c r="A112" s="168" t="str">
        <f>IF(Contents!$A$1=2,"Refined products еxport and import tariffs, net","Экспортные и импортные пошлины на нефтепродукты")</f>
        <v>Экспортные и импортные пошлины на нефтепродукты</v>
      </c>
      <c r="B112" s="255" t="str">
        <f>IF(Contents!$A$1=2,"mln RUB","млн руб.")</f>
        <v>млн руб.</v>
      </c>
      <c r="C112" s="169"/>
      <c r="D112" s="427">
        <v>-7899</v>
      </c>
      <c r="E112" s="428"/>
      <c r="F112" s="427">
        <v>-679</v>
      </c>
      <c r="G112" s="427">
        <v>-324</v>
      </c>
      <c r="H112" s="427">
        <v>-762</v>
      </c>
      <c r="I112" s="427">
        <v>-407</v>
      </c>
      <c r="J112" s="427">
        <v>-2172</v>
      </c>
      <c r="K112" s="428"/>
      <c r="L112" s="427">
        <v>-114</v>
      </c>
      <c r="M112" s="427">
        <v>-85</v>
      </c>
      <c r="N112" s="427">
        <v>-114</v>
      </c>
      <c r="O112" s="427">
        <v>-173</v>
      </c>
      <c r="P112" s="427">
        <v>-486</v>
      </c>
      <c r="Q112" s="428"/>
      <c r="R112" s="427">
        <v>-81</v>
      </c>
      <c r="S112" s="427">
        <v>-85</v>
      </c>
      <c r="T112" s="427">
        <v>-84</v>
      </c>
      <c r="U112" s="427">
        <v>-81</v>
      </c>
      <c r="V112" s="427">
        <v>-331</v>
      </c>
      <c r="W112" s="428"/>
      <c r="X112" s="427">
        <v>-64</v>
      </c>
      <c r="Y112" s="427">
        <v>-68</v>
      </c>
      <c r="Z112" s="427">
        <v>-83</v>
      </c>
      <c r="AA112" s="427">
        <v>-86</v>
      </c>
      <c r="AB112" s="427">
        <v>-301</v>
      </c>
      <c r="AC112" s="428"/>
      <c r="AD112" s="427">
        <v>87</v>
      </c>
      <c r="AE112" s="427">
        <v>107</v>
      </c>
      <c r="AF112" s="427">
        <v>58</v>
      </c>
      <c r="AG112" s="427">
        <v>4</v>
      </c>
      <c r="AH112" s="427">
        <v>256</v>
      </c>
      <c r="AI112" s="428"/>
      <c r="AJ112" s="427">
        <v>-7</v>
      </c>
      <c r="AK112" s="427">
        <v>-18</v>
      </c>
      <c r="AL112" s="427">
        <v>-65</v>
      </c>
      <c r="AM112" s="427">
        <v>-130</v>
      </c>
      <c r="AN112" s="427">
        <v>-220</v>
      </c>
      <c r="AO112" s="428"/>
      <c r="AP112" s="427">
        <v>8</v>
      </c>
      <c r="AQ112" s="427">
        <v>-53</v>
      </c>
      <c r="AR112" s="427">
        <v>-301</v>
      </c>
      <c r="AS112" s="427">
        <v>-173</v>
      </c>
      <c r="AT112" s="427">
        <v>-519</v>
      </c>
    </row>
    <row r="113" spans="1:46" ht="15" customHeight="1" x14ac:dyDescent="0.2">
      <c r="A113" s="100" t="str">
        <f>IF(Contents!$A$1=2,"Exploration expenses","Затраты на геолого-разведочные работы")</f>
        <v>Затраты на геолого-разведочные работы</v>
      </c>
      <c r="B113" s="250" t="str">
        <f>IF(Contents!$A$1=2,"mln RUB","млн руб.")</f>
        <v>млн руб.</v>
      </c>
      <c r="C113" s="82"/>
      <c r="D113" s="474">
        <v>-12228</v>
      </c>
      <c r="E113" s="470"/>
      <c r="F113" s="474">
        <v>-1197</v>
      </c>
      <c r="G113" s="474">
        <v>-13586</v>
      </c>
      <c r="H113" s="474">
        <v>-8819</v>
      </c>
      <c r="I113" s="474">
        <v>-5575</v>
      </c>
      <c r="J113" s="474">
        <v>-29177</v>
      </c>
      <c r="K113" s="470"/>
      <c r="L113" s="474">
        <v>-1681</v>
      </c>
      <c r="M113" s="474">
        <v>-2871</v>
      </c>
      <c r="N113" s="474">
        <v>-1082</v>
      </c>
      <c r="O113" s="474">
        <v>-2659</v>
      </c>
      <c r="P113" s="474">
        <v>-8293</v>
      </c>
      <c r="Q113" s="470"/>
      <c r="R113" s="474">
        <v>-764</v>
      </c>
      <c r="S113" s="474">
        <v>-659</v>
      </c>
      <c r="T113" s="474">
        <v>-842</v>
      </c>
      <c r="U113" s="474">
        <v>-10083</v>
      </c>
      <c r="V113" s="474">
        <v>-12348</v>
      </c>
      <c r="W113" s="470"/>
      <c r="X113" s="474">
        <v>-468</v>
      </c>
      <c r="Y113" s="474">
        <v>-815</v>
      </c>
      <c r="Z113" s="474">
        <v>-1041</v>
      </c>
      <c r="AA113" s="474">
        <v>-1258</v>
      </c>
      <c r="AB113" s="474">
        <v>-3582</v>
      </c>
      <c r="AC113" s="470"/>
      <c r="AD113" s="474">
        <v>-912</v>
      </c>
      <c r="AE113" s="474">
        <v>-596</v>
      </c>
      <c r="AF113" s="474">
        <v>-660</v>
      </c>
      <c r="AG113" s="474">
        <v>-7180</v>
      </c>
      <c r="AH113" s="474">
        <v>-9348</v>
      </c>
      <c r="AI113" s="470"/>
      <c r="AJ113" s="474">
        <v>-394</v>
      </c>
      <c r="AK113" s="474">
        <v>-2703</v>
      </c>
      <c r="AL113" s="474">
        <v>-438</v>
      </c>
      <c r="AM113" s="474">
        <v>-2579</v>
      </c>
      <c r="AN113" s="474">
        <v>-6114</v>
      </c>
      <c r="AO113" s="470"/>
      <c r="AP113" s="474">
        <v>-413</v>
      </c>
      <c r="AQ113" s="474">
        <v>-1473</v>
      </c>
      <c r="AR113" s="474">
        <v>-1176</v>
      </c>
      <c r="AS113" s="474">
        <v>-4014</v>
      </c>
      <c r="AT113" s="474">
        <v>-7076</v>
      </c>
    </row>
    <row r="114" spans="1:46" ht="15" customHeight="1" x14ac:dyDescent="0.2">
      <c r="A114" s="113" t="str">
        <f>IF(Contents!$A$1=2,"Profit from operating activities","Операционная прибыль ")</f>
        <v xml:space="preserve">Операционная прибыль </v>
      </c>
      <c r="B114" s="256" t="str">
        <f>IF(Contents!$A$1=2,"mln RUB","млн руб.")</f>
        <v>млн руб.</v>
      </c>
      <c r="C114" s="79"/>
      <c r="D114" s="458">
        <v>412334</v>
      </c>
      <c r="E114" s="467"/>
      <c r="F114" s="458">
        <v>132245</v>
      </c>
      <c r="G114" s="458">
        <v>119621</v>
      </c>
      <c r="H114" s="458">
        <v>112970</v>
      </c>
      <c r="I114" s="458">
        <v>100893</v>
      </c>
      <c r="J114" s="458">
        <v>465729</v>
      </c>
      <c r="K114" s="467"/>
      <c r="L114" s="458">
        <v>107644</v>
      </c>
      <c r="M114" s="458">
        <v>117963</v>
      </c>
      <c r="N114" s="458">
        <v>91100</v>
      </c>
      <c r="O114" s="458">
        <v>102436</v>
      </c>
      <c r="P114" s="458">
        <v>419143</v>
      </c>
      <c r="Q114" s="467"/>
      <c r="R114" s="458">
        <v>126871</v>
      </c>
      <c r="S114" s="458">
        <v>94882</v>
      </c>
      <c r="T114" s="458">
        <v>137226</v>
      </c>
      <c r="U114" s="458">
        <v>147537</v>
      </c>
      <c r="V114" s="458">
        <v>506516</v>
      </c>
      <c r="W114" s="467"/>
      <c r="X114" s="458">
        <v>131834</v>
      </c>
      <c r="Y114" s="458">
        <v>197558</v>
      </c>
      <c r="Z114" s="458">
        <v>215910</v>
      </c>
      <c r="AA114" s="458">
        <v>226413</v>
      </c>
      <c r="AB114" s="458">
        <v>771715</v>
      </c>
      <c r="AC114" s="467"/>
      <c r="AD114" s="458">
        <v>194227</v>
      </c>
      <c r="AE114" s="458">
        <v>226440</v>
      </c>
      <c r="AF114" s="458">
        <v>223301</v>
      </c>
      <c r="AG114" s="458">
        <v>177130</v>
      </c>
      <c r="AH114" s="458">
        <v>821098</v>
      </c>
      <c r="AI114" s="467"/>
      <c r="AJ114" s="458">
        <v>40125</v>
      </c>
      <c r="AK114" s="458">
        <v>43691</v>
      </c>
      <c r="AL114" s="458">
        <v>98784</v>
      </c>
      <c r="AM114" s="458">
        <v>99054</v>
      </c>
      <c r="AN114" s="458">
        <v>281654</v>
      </c>
      <c r="AO114" s="467"/>
      <c r="AP114" s="458">
        <v>200666</v>
      </c>
      <c r="AQ114" s="458">
        <v>233328</v>
      </c>
      <c r="AR114" s="458">
        <v>247773</v>
      </c>
      <c r="AS114" s="458">
        <v>297178</v>
      </c>
      <c r="AT114" s="458">
        <v>978945</v>
      </c>
    </row>
    <row r="115" spans="1:46" ht="15" customHeight="1" collapsed="1" x14ac:dyDescent="0.2">
      <c r="A115" s="101" t="str">
        <f>IF(Contents!$A$1=2,"Finance income","Финансовые доходы")</f>
        <v>Финансовые доходы</v>
      </c>
      <c r="B115" s="265" t="str">
        <f>IF(Contents!$A$1=2,"mln RUB","млн руб.")</f>
        <v>млн руб.</v>
      </c>
      <c r="C115" s="102"/>
      <c r="D115" s="454">
        <v>10999</v>
      </c>
      <c r="E115" s="455"/>
      <c r="F115" s="454">
        <v>4531</v>
      </c>
      <c r="G115" s="454">
        <v>4036</v>
      </c>
      <c r="H115" s="454">
        <v>4210</v>
      </c>
      <c r="I115" s="454">
        <v>4986</v>
      </c>
      <c r="J115" s="454">
        <v>17763</v>
      </c>
      <c r="K115" s="455"/>
      <c r="L115" s="454">
        <v>3831</v>
      </c>
      <c r="M115" s="454">
        <v>3511</v>
      </c>
      <c r="N115" s="454">
        <v>3778</v>
      </c>
      <c r="O115" s="454">
        <v>3636</v>
      </c>
      <c r="P115" s="454">
        <v>14756</v>
      </c>
      <c r="Q115" s="455"/>
      <c r="R115" s="454">
        <v>3299</v>
      </c>
      <c r="S115" s="454">
        <v>3102</v>
      </c>
      <c r="T115" s="454">
        <v>3261</v>
      </c>
      <c r="U115" s="454">
        <v>5489</v>
      </c>
      <c r="V115" s="454">
        <v>15151</v>
      </c>
      <c r="W115" s="455"/>
      <c r="X115" s="454">
        <v>3514</v>
      </c>
      <c r="Y115" s="454">
        <v>4648</v>
      </c>
      <c r="Z115" s="454">
        <v>5132</v>
      </c>
      <c r="AA115" s="454">
        <v>6236</v>
      </c>
      <c r="AB115" s="454">
        <v>19530</v>
      </c>
      <c r="AC115" s="455"/>
      <c r="AD115" s="454">
        <v>5984</v>
      </c>
      <c r="AE115" s="454">
        <v>6075</v>
      </c>
      <c r="AF115" s="454">
        <v>6944</v>
      </c>
      <c r="AG115" s="454">
        <v>6131</v>
      </c>
      <c r="AH115" s="454">
        <v>25134</v>
      </c>
      <c r="AI115" s="455"/>
      <c r="AJ115" s="454">
        <v>4811</v>
      </c>
      <c r="AK115" s="454">
        <v>2685</v>
      </c>
      <c r="AL115" s="454">
        <v>3625</v>
      </c>
      <c r="AM115" s="454">
        <v>1930</v>
      </c>
      <c r="AN115" s="454">
        <v>13051</v>
      </c>
      <c r="AO115" s="455"/>
      <c r="AP115" s="454">
        <v>2164</v>
      </c>
      <c r="AQ115" s="454">
        <v>2701</v>
      </c>
      <c r="AR115" s="454">
        <v>4641</v>
      </c>
      <c r="AS115" s="454">
        <v>7013</v>
      </c>
      <c r="AT115" s="454">
        <v>16519</v>
      </c>
    </row>
    <row r="116" spans="1:46" s="179" customFormat="1" ht="15" hidden="1" customHeight="1" outlineLevel="1" x14ac:dyDescent="0.25">
      <c r="A116" s="168" t="str">
        <f>IF(Contents!$A$1=2,"Interest income from deposits","Доход от процентов по депозитам")</f>
        <v>Доход от процентов по депозитам</v>
      </c>
      <c r="B116" s="255" t="str">
        <f>IF(Contents!$A$1=2,"mln RUB","млн руб.")</f>
        <v>млн руб.</v>
      </c>
      <c r="C116" s="180"/>
      <c r="D116" s="427">
        <v>5154</v>
      </c>
      <c r="E116" s="428"/>
      <c r="F116" s="427">
        <v>2420</v>
      </c>
      <c r="G116" s="427">
        <v>2494</v>
      </c>
      <c r="H116" s="427">
        <v>2514</v>
      </c>
      <c r="I116" s="427">
        <v>2774</v>
      </c>
      <c r="J116" s="427">
        <v>10202</v>
      </c>
      <c r="K116" s="428"/>
      <c r="L116" s="427">
        <v>1495</v>
      </c>
      <c r="M116" s="427">
        <v>1354</v>
      </c>
      <c r="N116" s="427">
        <v>1884</v>
      </c>
      <c r="O116" s="427">
        <v>1145</v>
      </c>
      <c r="P116" s="427">
        <v>5878</v>
      </c>
      <c r="Q116" s="428"/>
      <c r="R116" s="427">
        <v>810</v>
      </c>
      <c r="S116" s="427">
        <v>1204</v>
      </c>
      <c r="T116" s="427">
        <v>1408</v>
      </c>
      <c r="U116" s="427">
        <v>1800</v>
      </c>
      <c r="V116" s="427">
        <v>5222</v>
      </c>
      <c r="W116" s="428"/>
      <c r="X116" s="427">
        <v>1543</v>
      </c>
      <c r="Y116" s="427">
        <v>2156</v>
      </c>
      <c r="Z116" s="427">
        <v>3017</v>
      </c>
      <c r="AA116" s="427">
        <v>3879</v>
      </c>
      <c r="AB116" s="427">
        <v>10595</v>
      </c>
      <c r="AC116" s="428"/>
      <c r="AD116" s="427">
        <v>3291</v>
      </c>
      <c r="AE116" s="427">
        <v>3981</v>
      </c>
      <c r="AF116" s="427">
        <v>4945</v>
      </c>
      <c r="AG116" s="427">
        <v>3235</v>
      </c>
      <c r="AH116" s="427">
        <v>15452</v>
      </c>
      <c r="AI116" s="428"/>
      <c r="AJ116" s="427">
        <v>2998</v>
      </c>
      <c r="AK116" s="427">
        <v>1306</v>
      </c>
      <c r="AL116" s="427">
        <v>1251</v>
      </c>
      <c r="AM116" s="427">
        <v>689</v>
      </c>
      <c r="AN116" s="427">
        <v>6244</v>
      </c>
      <c r="AO116" s="428"/>
      <c r="AP116" s="427">
        <v>665</v>
      </c>
      <c r="AQ116" s="427">
        <v>1470</v>
      </c>
      <c r="AR116" s="427">
        <v>2543</v>
      </c>
      <c r="AS116" s="427">
        <v>5196</v>
      </c>
      <c r="AT116" s="427">
        <v>9874</v>
      </c>
    </row>
    <row r="117" spans="1:46" s="179" customFormat="1" ht="15" hidden="1" customHeight="1" outlineLevel="1" x14ac:dyDescent="0.25">
      <c r="A117" s="168" t="str">
        <f>IF(Contents!$A$1=2,"Interest income from loans","Доход от процентов по выданным займам")</f>
        <v>Доход от процентов по выданным займам</v>
      </c>
      <c r="B117" s="255" t="str">
        <f>IF(Contents!$A$1=2,"mln RUB","млн руб.")</f>
        <v>млн руб.</v>
      </c>
      <c r="C117" s="180"/>
      <c r="D117" s="427">
        <v>4222</v>
      </c>
      <c r="E117" s="428"/>
      <c r="F117" s="427">
        <v>1552</v>
      </c>
      <c r="G117" s="427">
        <v>1363</v>
      </c>
      <c r="H117" s="427">
        <v>1602</v>
      </c>
      <c r="I117" s="427">
        <v>1662</v>
      </c>
      <c r="J117" s="427">
        <v>6179</v>
      </c>
      <c r="K117" s="428"/>
      <c r="L117" s="427">
        <v>1878</v>
      </c>
      <c r="M117" s="427">
        <v>1819</v>
      </c>
      <c r="N117" s="427">
        <v>1770</v>
      </c>
      <c r="O117" s="427">
        <v>1839</v>
      </c>
      <c r="P117" s="427">
        <v>7306</v>
      </c>
      <c r="Q117" s="428"/>
      <c r="R117" s="427">
        <v>1967</v>
      </c>
      <c r="S117" s="427">
        <v>1664</v>
      </c>
      <c r="T117" s="427">
        <v>1549</v>
      </c>
      <c r="U117" s="427">
        <v>1535</v>
      </c>
      <c r="V117" s="427">
        <v>6715</v>
      </c>
      <c r="W117" s="428"/>
      <c r="X117" s="427">
        <v>1426</v>
      </c>
      <c r="Y117" s="427">
        <v>1873</v>
      </c>
      <c r="Z117" s="427">
        <v>1660</v>
      </c>
      <c r="AA117" s="427">
        <v>1525</v>
      </c>
      <c r="AB117" s="427">
        <v>6484</v>
      </c>
      <c r="AC117" s="428"/>
      <c r="AD117" s="427">
        <v>1241</v>
      </c>
      <c r="AE117" s="427">
        <v>1231</v>
      </c>
      <c r="AF117" s="427">
        <v>1289</v>
      </c>
      <c r="AG117" s="427">
        <v>1117</v>
      </c>
      <c r="AH117" s="427">
        <v>4878</v>
      </c>
      <c r="AI117" s="428"/>
      <c r="AJ117" s="427">
        <v>1376</v>
      </c>
      <c r="AK117" s="427">
        <v>1053</v>
      </c>
      <c r="AL117" s="427">
        <v>990</v>
      </c>
      <c r="AM117" s="427">
        <v>826</v>
      </c>
      <c r="AN117" s="427">
        <v>4245</v>
      </c>
      <c r="AO117" s="428"/>
      <c r="AP117" s="427">
        <v>978</v>
      </c>
      <c r="AQ117" s="427">
        <v>996</v>
      </c>
      <c r="AR117" s="427">
        <v>1368</v>
      </c>
      <c r="AS117" s="427">
        <v>1041</v>
      </c>
      <c r="AT117" s="427">
        <v>4383</v>
      </c>
    </row>
    <row r="118" spans="1:46" s="179" customFormat="1" ht="15" hidden="1" customHeight="1" outlineLevel="1" x14ac:dyDescent="0.25">
      <c r="A118" s="168" t="str">
        <f>IF(Contents!$A$1=2,"Other finance income","Прочие финансовые доходы")</f>
        <v>Прочие финансовые доходы</v>
      </c>
      <c r="B118" s="255" t="str">
        <f>IF(Contents!$A$1=2,"mln RUB","млн руб.")</f>
        <v>млн руб.</v>
      </c>
      <c r="C118" s="180"/>
      <c r="D118" s="427">
        <v>1623</v>
      </c>
      <c r="E118" s="428"/>
      <c r="F118" s="427">
        <v>559</v>
      </c>
      <c r="G118" s="427">
        <v>179</v>
      </c>
      <c r="H118" s="427">
        <v>94</v>
      </c>
      <c r="I118" s="427">
        <v>550</v>
      </c>
      <c r="J118" s="427">
        <v>1382</v>
      </c>
      <c r="K118" s="428"/>
      <c r="L118" s="427">
        <v>458</v>
      </c>
      <c r="M118" s="427">
        <v>338</v>
      </c>
      <c r="N118" s="427">
        <v>124</v>
      </c>
      <c r="O118" s="427">
        <v>652</v>
      </c>
      <c r="P118" s="427">
        <v>1572</v>
      </c>
      <c r="Q118" s="428"/>
      <c r="R118" s="427">
        <v>522</v>
      </c>
      <c r="S118" s="427">
        <v>234</v>
      </c>
      <c r="T118" s="427">
        <v>304</v>
      </c>
      <c r="U118" s="427">
        <v>2154</v>
      </c>
      <c r="V118" s="427">
        <v>3214</v>
      </c>
      <c r="W118" s="428"/>
      <c r="X118" s="427">
        <v>545</v>
      </c>
      <c r="Y118" s="427">
        <v>619</v>
      </c>
      <c r="Z118" s="427">
        <v>455</v>
      </c>
      <c r="AA118" s="427">
        <v>832</v>
      </c>
      <c r="AB118" s="427">
        <v>2451</v>
      </c>
      <c r="AC118" s="428"/>
      <c r="AD118" s="427">
        <v>1452</v>
      </c>
      <c r="AE118" s="427">
        <v>863</v>
      </c>
      <c r="AF118" s="427">
        <v>710</v>
      </c>
      <c r="AG118" s="427">
        <v>1779</v>
      </c>
      <c r="AH118" s="427">
        <v>4804</v>
      </c>
      <c r="AI118" s="428"/>
      <c r="AJ118" s="427">
        <v>437</v>
      </c>
      <c r="AK118" s="427">
        <v>326</v>
      </c>
      <c r="AL118" s="427">
        <v>1384</v>
      </c>
      <c r="AM118" s="427">
        <v>415</v>
      </c>
      <c r="AN118" s="427">
        <v>2562</v>
      </c>
      <c r="AO118" s="428"/>
      <c r="AP118" s="427">
        <v>521</v>
      </c>
      <c r="AQ118" s="427">
        <v>235</v>
      </c>
      <c r="AR118" s="427">
        <v>730</v>
      </c>
      <c r="AS118" s="427">
        <v>776</v>
      </c>
      <c r="AT118" s="427">
        <v>2262</v>
      </c>
    </row>
    <row r="119" spans="1:46" ht="15" customHeight="1" collapsed="1" x14ac:dyDescent="0.2">
      <c r="A119" s="101" t="str">
        <f>IF(Contents!$A$1=2,"Finance costs","Финансовые расходы")</f>
        <v>Финансовые расходы</v>
      </c>
      <c r="B119" s="265" t="str">
        <f>IF(Contents!$A$1=2,"mln RUB","млн руб.")</f>
        <v>млн руб.</v>
      </c>
      <c r="C119" s="102"/>
      <c r="D119" s="454">
        <v>-29727</v>
      </c>
      <c r="E119" s="455"/>
      <c r="F119" s="454">
        <v>-11460</v>
      </c>
      <c r="G119" s="454">
        <v>-11026</v>
      </c>
      <c r="H119" s="454">
        <v>-11667</v>
      </c>
      <c r="I119" s="454">
        <v>-14071</v>
      </c>
      <c r="J119" s="454">
        <v>-48224</v>
      </c>
      <c r="K119" s="455"/>
      <c r="L119" s="454">
        <v>-10371</v>
      </c>
      <c r="M119" s="454">
        <v>-11098</v>
      </c>
      <c r="N119" s="454">
        <v>-11949</v>
      </c>
      <c r="O119" s="454">
        <v>-13612</v>
      </c>
      <c r="P119" s="454">
        <v>-47030</v>
      </c>
      <c r="Q119" s="455"/>
      <c r="R119" s="454">
        <v>-9470</v>
      </c>
      <c r="S119" s="454">
        <v>-6767</v>
      </c>
      <c r="T119" s="454">
        <v>-5925</v>
      </c>
      <c r="U119" s="454">
        <v>-5169</v>
      </c>
      <c r="V119" s="454">
        <v>-27331</v>
      </c>
      <c r="W119" s="455"/>
      <c r="X119" s="454">
        <v>-7322</v>
      </c>
      <c r="Y119" s="454">
        <v>-8279</v>
      </c>
      <c r="Z119" s="454">
        <v>-9955</v>
      </c>
      <c r="AA119" s="454">
        <v>-12742</v>
      </c>
      <c r="AB119" s="454">
        <v>-38298</v>
      </c>
      <c r="AC119" s="455"/>
      <c r="AD119" s="454">
        <v>-11734</v>
      </c>
      <c r="AE119" s="454">
        <v>-10976</v>
      </c>
      <c r="AF119" s="454">
        <v>-10872</v>
      </c>
      <c r="AG119" s="454">
        <v>-10774</v>
      </c>
      <c r="AH119" s="454">
        <v>-44356</v>
      </c>
      <c r="AI119" s="455"/>
      <c r="AJ119" s="454">
        <v>-10249</v>
      </c>
      <c r="AK119" s="454">
        <v>-11323</v>
      </c>
      <c r="AL119" s="454">
        <v>-11697</v>
      </c>
      <c r="AM119" s="454">
        <v>-10853</v>
      </c>
      <c r="AN119" s="454">
        <v>-44122</v>
      </c>
      <c r="AO119" s="455"/>
      <c r="AP119" s="454">
        <v>-9351</v>
      </c>
      <c r="AQ119" s="454">
        <v>-9289</v>
      </c>
      <c r="AR119" s="454">
        <v>-9246</v>
      </c>
      <c r="AS119" s="454">
        <v>-9682</v>
      </c>
      <c r="AT119" s="454">
        <v>-37568</v>
      </c>
    </row>
    <row r="120" spans="1:46" s="179" customFormat="1" ht="15" hidden="1" customHeight="1" outlineLevel="1" x14ac:dyDescent="0.25">
      <c r="A120" s="168" t="str">
        <f>IF(Contents!$A$1=2,"Interest expenses","Расходы по процентам")</f>
        <v>Расходы по процентам</v>
      </c>
      <c r="B120" s="255" t="str">
        <f>IF(Contents!$A$1=2,"mln RUB","млн руб.")</f>
        <v>млн руб.</v>
      </c>
      <c r="C120" s="180"/>
      <c r="D120" s="427">
        <v>-24440</v>
      </c>
      <c r="E120" s="428"/>
      <c r="F120" s="427">
        <v>-10991</v>
      </c>
      <c r="G120" s="427">
        <v>-9576</v>
      </c>
      <c r="H120" s="427">
        <v>-11295</v>
      </c>
      <c r="I120" s="427">
        <v>-12220</v>
      </c>
      <c r="J120" s="427">
        <v>-44082</v>
      </c>
      <c r="K120" s="428"/>
      <c r="L120" s="427">
        <v>-9925</v>
      </c>
      <c r="M120" s="427">
        <v>-10259</v>
      </c>
      <c r="N120" s="427">
        <v>-10096</v>
      </c>
      <c r="O120" s="427">
        <v>-10003</v>
      </c>
      <c r="P120" s="427">
        <v>-40283</v>
      </c>
      <c r="Q120" s="428"/>
      <c r="R120" s="427">
        <v>-7927</v>
      </c>
      <c r="S120" s="427">
        <v>-5838</v>
      </c>
      <c r="T120" s="427">
        <v>-5082</v>
      </c>
      <c r="U120" s="427">
        <v>-4269</v>
      </c>
      <c r="V120" s="427">
        <v>-23116</v>
      </c>
      <c r="W120" s="428"/>
      <c r="X120" s="427">
        <v>-6322</v>
      </c>
      <c r="Y120" s="427">
        <v>-7101</v>
      </c>
      <c r="Z120" s="427">
        <v>-7548</v>
      </c>
      <c r="AA120" s="427">
        <v>-11220</v>
      </c>
      <c r="AB120" s="427">
        <v>-32191</v>
      </c>
      <c r="AC120" s="428"/>
      <c r="AD120" s="427">
        <v>-10466</v>
      </c>
      <c r="AE120" s="427">
        <v>-9846</v>
      </c>
      <c r="AF120" s="427">
        <v>-9643</v>
      </c>
      <c r="AG120" s="427">
        <v>-9190</v>
      </c>
      <c r="AH120" s="427">
        <v>-39145</v>
      </c>
      <c r="AI120" s="428"/>
      <c r="AJ120" s="427">
        <v>-8760</v>
      </c>
      <c r="AK120" s="427">
        <v>-9875</v>
      </c>
      <c r="AL120" s="427">
        <v>-9641</v>
      </c>
      <c r="AM120" s="427">
        <v>-9057</v>
      </c>
      <c r="AN120" s="427">
        <v>-37333</v>
      </c>
      <c r="AO120" s="428"/>
      <c r="AP120" s="427">
        <v>-7747</v>
      </c>
      <c r="AQ120" s="427">
        <v>-7834</v>
      </c>
      <c r="AR120" s="427">
        <v>-7683</v>
      </c>
      <c r="AS120" s="427">
        <v>-8345</v>
      </c>
      <c r="AT120" s="427">
        <v>-31609</v>
      </c>
    </row>
    <row r="121" spans="1:46" s="179" customFormat="1" ht="15" hidden="1" customHeight="1" outlineLevel="1" x14ac:dyDescent="0.25">
      <c r="A121" s="168" t="str">
        <f>IF(Contents!$A$1=2,"Accretion expenses","Приращение дисконта")</f>
        <v>Приращение дисконта</v>
      </c>
      <c r="B121" s="255" t="str">
        <f>IF(Contents!$A$1=2,"mln RUB","млн руб.")</f>
        <v>млн руб.</v>
      </c>
      <c r="C121" s="180"/>
      <c r="D121" s="427">
        <v>-4845</v>
      </c>
      <c r="E121" s="428"/>
      <c r="F121" s="427">
        <v>-319</v>
      </c>
      <c r="G121" s="427">
        <v>-123</v>
      </c>
      <c r="H121" s="427">
        <v>-257</v>
      </c>
      <c r="I121" s="427">
        <v>-884</v>
      </c>
      <c r="J121" s="427">
        <v>-1583</v>
      </c>
      <c r="K121" s="428"/>
      <c r="L121" s="427">
        <v>-373</v>
      </c>
      <c r="M121" s="427">
        <v>-751</v>
      </c>
      <c r="N121" s="427">
        <v>-578</v>
      </c>
      <c r="O121" s="427">
        <v>-621</v>
      </c>
      <c r="P121" s="427">
        <v>-2323</v>
      </c>
      <c r="Q121" s="428"/>
      <c r="R121" s="427">
        <v>-669</v>
      </c>
      <c r="S121" s="427">
        <v>-672</v>
      </c>
      <c r="T121" s="427">
        <v>-678</v>
      </c>
      <c r="U121" s="427">
        <v>-686</v>
      </c>
      <c r="V121" s="427">
        <v>-2705</v>
      </c>
      <c r="W121" s="428"/>
      <c r="X121" s="427">
        <v>-646</v>
      </c>
      <c r="Y121" s="427">
        <v>-761</v>
      </c>
      <c r="Z121" s="427">
        <v>-842</v>
      </c>
      <c r="AA121" s="427">
        <v>-745</v>
      </c>
      <c r="AB121" s="427">
        <v>-2994</v>
      </c>
      <c r="AC121" s="428"/>
      <c r="AD121" s="427">
        <v>-665</v>
      </c>
      <c r="AE121" s="427">
        <v>-581</v>
      </c>
      <c r="AF121" s="427">
        <v>-746</v>
      </c>
      <c r="AG121" s="427">
        <v>-760</v>
      </c>
      <c r="AH121" s="427">
        <v>-2752</v>
      </c>
      <c r="AI121" s="428"/>
      <c r="AJ121" s="427">
        <v>-952</v>
      </c>
      <c r="AK121" s="427">
        <v>-916</v>
      </c>
      <c r="AL121" s="427">
        <v>-1448</v>
      </c>
      <c r="AM121" s="427">
        <v>-1189</v>
      </c>
      <c r="AN121" s="427">
        <v>-4505</v>
      </c>
      <c r="AO121" s="428"/>
      <c r="AP121" s="427">
        <v>-1109</v>
      </c>
      <c r="AQ121" s="427">
        <v>-1065</v>
      </c>
      <c r="AR121" s="427">
        <v>-1110</v>
      </c>
      <c r="AS121" s="427">
        <v>-913</v>
      </c>
      <c r="AT121" s="427">
        <v>-4197</v>
      </c>
    </row>
    <row r="122" spans="1:46" s="179" customFormat="1" ht="15" hidden="1" customHeight="1" outlineLevel="1" x14ac:dyDescent="0.25">
      <c r="A122" s="338" t="str">
        <f>IF(Contents!$A$1=2,"Other finance costs","Прочие финансовые расходы")</f>
        <v>Прочие финансовые расходы</v>
      </c>
      <c r="B122" s="255" t="str">
        <f>IF(Contents!$A$1=2,"mln RUB","млн руб.")</f>
        <v>млн руб.</v>
      </c>
      <c r="C122" s="180"/>
      <c r="D122" s="427">
        <v>-442</v>
      </c>
      <c r="E122" s="428"/>
      <c r="F122" s="427">
        <v>-150</v>
      </c>
      <c r="G122" s="427">
        <v>-1327</v>
      </c>
      <c r="H122" s="427">
        <v>-115</v>
      </c>
      <c r="I122" s="427">
        <v>-967</v>
      </c>
      <c r="J122" s="427">
        <v>-2559</v>
      </c>
      <c r="K122" s="428"/>
      <c r="L122" s="427">
        <v>-73</v>
      </c>
      <c r="M122" s="427">
        <v>-88</v>
      </c>
      <c r="N122" s="427">
        <v>-1275</v>
      </c>
      <c r="O122" s="427">
        <v>-2988</v>
      </c>
      <c r="P122" s="427">
        <v>-4424</v>
      </c>
      <c r="Q122" s="428"/>
      <c r="R122" s="427">
        <v>-874</v>
      </c>
      <c r="S122" s="427">
        <v>-257</v>
      </c>
      <c r="T122" s="427">
        <v>-165</v>
      </c>
      <c r="U122" s="427">
        <v>-214</v>
      </c>
      <c r="V122" s="427">
        <v>-1510</v>
      </c>
      <c r="W122" s="428"/>
      <c r="X122" s="427">
        <v>-354</v>
      </c>
      <c r="Y122" s="427">
        <v>-417</v>
      </c>
      <c r="Z122" s="427">
        <v>-1565</v>
      </c>
      <c r="AA122" s="427">
        <v>-777</v>
      </c>
      <c r="AB122" s="427">
        <v>-3113</v>
      </c>
      <c r="AC122" s="428"/>
      <c r="AD122" s="427">
        <v>-603</v>
      </c>
      <c r="AE122" s="427">
        <v>-549</v>
      </c>
      <c r="AF122" s="427">
        <v>-483</v>
      </c>
      <c r="AG122" s="427">
        <v>-824</v>
      </c>
      <c r="AH122" s="427">
        <v>-2459</v>
      </c>
      <c r="AI122" s="428"/>
      <c r="AJ122" s="427">
        <v>-537</v>
      </c>
      <c r="AK122" s="427">
        <v>-532</v>
      </c>
      <c r="AL122" s="427">
        <v>-608</v>
      </c>
      <c r="AM122" s="427">
        <v>-607</v>
      </c>
      <c r="AN122" s="427">
        <v>-2284</v>
      </c>
      <c r="AO122" s="428"/>
      <c r="AP122" s="427">
        <v>-495</v>
      </c>
      <c r="AQ122" s="427">
        <v>-390</v>
      </c>
      <c r="AR122" s="427">
        <v>-453</v>
      </c>
      <c r="AS122" s="427">
        <v>-424</v>
      </c>
      <c r="AT122" s="427">
        <v>-1762</v>
      </c>
    </row>
    <row r="123" spans="1:46" ht="15" customHeight="1" x14ac:dyDescent="0.2">
      <c r="A123" s="100" t="str">
        <f>IF(Contents!$A$1=2,"Equity share in income of affiliates","Доля в прибыли компаний, учитываемых по методу долевого участия")</f>
        <v>Доля в прибыли компаний, учитываемых по методу долевого участия</v>
      </c>
      <c r="B123" s="250" t="str">
        <f>IF(Contents!$A$1=2,"mln RUB","млн руб.")</f>
        <v>млн руб.</v>
      </c>
      <c r="C123" s="82"/>
      <c r="D123" s="474">
        <v>19888</v>
      </c>
      <c r="E123" s="470"/>
      <c r="F123" s="474">
        <v>4093</v>
      </c>
      <c r="G123" s="474">
        <v>2382</v>
      </c>
      <c r="H123" s="474">
        <v>2131</v>
      </c>
      <c r="I123" s="474">
        <v>-1559</v>
      </c>
      <c r="J123" s="474">
        <v>7047</v>
      </c>
      <c r="K123" s="470"/>
      <c r="L123" s="474">
        <v>2353</v>
      </c>
      <c r="M123" s="474">
        <v>3425</v>
      </c>
      <c r="N123" s="474">
        <v>198</v>
      </c>
      <c r="O123" s="474">
        <v>1991</v>
      </c>
      <c r="P123" s="474">
        <v>7967</v>
      </c>
      <c r="Q123" s="470"/>
      <c r="R123" s="474">
        <v>3730</v>
      </c>
      <c r="S123" s="474">
        <v>3955</v>
      </c>
      <c r="T123" s="474">
        <v>3985</v>
      </c>
      <c r="U123" s="474">
        <v>5194</v>
      </c>
      <c r="V123" s="474">
        <v>16864</v>
      </c>
      <c r="W123" s="470"/>
      <c r="X123" s="474">
        <v>5249</v>
      </c>
      <c r="Y123" s="474">
        <v>6104</v>
      </c>
      <c r="Z123" s="474">
        <v>6828</v>
      </c>
      <c r="AA123" s="474">
        <v>7062</v>
      </c>
      <c r="AB123" s="474">
        <v>25243</v>
      </c>
      <c r="AC123" s="470"/>
      <c r="AD123" s="474">
        <v>6180</v>
      </c>
      <c r="AE123" s="474">
        <v>4942</v>
      </c>
      <c r="AF123" s="474">
        <v>5496</v>
      </c>
      <c r="AG123" s="474">
        <v>1628</v>
      </c>
      <c r="AH123" s="474">
        <v>18246</v>
      </c>
      <c r="AI123" s="470"/>
      <c r="AJ123" s="474">
        <v>4431</v>
      </c>
      <c r="AK123" s="474">
        <v>-3</v>
      </c>
      <c r="AL123" s="474">
        <v>4029</v>
      </c>
      <c r="AM123" s="474">
        <v>3017</v>
      </c>
      <c r="AN123" s="474">
        <v>11474</v>
      </c>
      <c r="AO123" s="470"/>
      <c r="AP123" s="474">
        <v>6488</v>
      </c>
      <c r="AQ123" s="474">
        <v>6624</v>
      </c>
      <c r="AR123" s="474">
        <v>6722</v>
      </c>
      <c r="AS123" s="474">
        <v>10146</v>
      </c>
      <c r="AT123" s="474">
        <v>29980</v>
      </c>
    </row>
    <row r="124" spans="1:46" ht="15" customHeight="1" x14ac:dyDescent="0.2">
      <c r="A124" s="135" t="str">
        <f>IF(Contents!$A$1=2,"Foreign exchange gain (loss)","Прибыль (убыток) по курсовым разницам")</f>
        <v>Прибыль (убыток) по курсовым разницам</v>
      </c>
      <c r="B124" s="250" t="str">
        <f>IF(Contents!$A$1=2,"mln RUB","млн руб.")</f>
        <v>млн руб.</v>
      </c>
      <c r="C124" s="82"/>
      <c r="D124" s="474">
        <v>167235</v>
      </c>
      <c r="E124" s="470"/>
      <c r="F124" s="474">
        <v>5675</v>
      </c>
      <c r="G124" s="474">
        <v>-29154</v>
      </c>
      <c r="H124" s="474">
        <v>83762</v>
      </c>
      <c r="I124" s="474">
        <v>50629</v>
      </c>
      <c r="J124" s="474">
        <v>110912</v>
      </c>
      <c r="K124" s="470"/>
      <c r="L124" s="474">
        <v>-45378</v>
      </c>
      <c r="M124" s="474">
        <v>-28945</v>
      </c>
      <c r="N124" s="474">
        <v>-10207</v>
      </c>
      <c r="O124" s="474">
        <v>-27446</v>
      </c>
      <c r="P124" s="474">
        <v>-111976</v>
      </c>
      <c r="Q124" s="470"/>
      <c r="R124" s="474">
        <v>-43494</v>
      </c>
      <c r="S124" s="474">
        <v>27786</v>
      </c>
      <c r="T124" s="474">
        <v>-9441</v>
      </c>
      <c r="U124" s="474">
        <v>5201</v>
      </c>
      <c r="V124" s="474">
        <v>-19948</v>
      </c>
      <c r="W124" s="470"/>
      <c r="X124" s="474">
        <v>-1432</v>
      </c>
      <c r="Y124" s="474">
        <v>22394</v>
      </c>
      <c r="Z124" s="474">
        <v>11215</v>
      </c>
      <c r="AA124" s="474">
        <v>1586</v>
      </c>
      <c r="AB124" s="474">
        <v>33763</v>
      </c>
      <c r="AC124" s="470"/>
      <c r="AD124" s="474">
        <v>1901</v>
      </c>
      <c r="AE124" s="474">
        <v>3607</v>
      </c>
      <c r="AF124" s="474">
        <v>-4630</v>
      </c>
      <c r="AG124" s="474">
        <v>45</v>
      </c>
      <c r="AH124" s="474">
        <v>923</v>
      </c>
      <c r="AI124" s="470"/>
      <c r="AJ124" s="474">
        <v>-14910</v>
      </c>
      <c r="AK124" s="474">
        <v>3620</v>
      </c>
      <c r="AL124" s="474">
        <v>-27280</v>
      </c>
      <c r="AM124" s="474">
        <v>12460</v>
      </c>
      <c r="AN124" s="474">
        <v>-26110</v>
      </c>
      <c r="AO124" s="470"/>
      <c r="AP124" s="474">
        <v>-1145</v>
      </c>
      <c r="AQ124" s="474">
        <v>-1275</v>
      </c>
      <c r="AR124" s="474">
        <v>-661</v>
      </c>
      <c r="AS124" s="474">
        <v>5812</v>
      </c>
      <c r="AT124" s="474">
        <v>2731</v>
      </c>
    </row>
    <row r="125" spans="1:46" ht="15" customHeight="1" collapsed="1" x14ac:dyDescent="0.2">
      <c r="A125" s="135" t="str">
        <f>IF(Contents!$A$1=2,"Other income (expenses)","Прочие доходы (расходы)")</f>
        <v>Прочие доходы (расходы)</v>
      </c>
      <c r="B125" s="250" t="str">
        <f>IF(Contents!$A$1=2,"mln RUB","млн руб.")</f>
        <v>млн руб.</v>
      </c>
      <c r="C125" s="82"/>
      <c r="D125" s="474">
        <v>-95874</v>
      </c>
      <c r="E125" s="470"/>
      <c r="F125" s="474">
        <v>-5772</v>
      </c>
      <c r="G125" s="474">
        <v>-2784</v>
      </c>
      <c r="H125" s="474">
        <v>36542</v>
      </c>
      <c r="I125" s="474">
        <v>-192109</v>
      </c>
      <c r="J125" s="474">
        <v>-164123</v>
      </c>
      <c r="K125" s="470"/>
      <c r="L125" s="474">
        <v>-3343</v>
      </c>
      <c r="M125" s="474">
        <v>-4205</v>
      </c>
      <c r="N125" s="474">
        <v>2872</v>
      </c>
      <c r="O125" s="474">
        <v>-5669</v>
      </c>
      <c r="P125" s="474">
        <v>-10345</v>
      </c>
      <c r="Q125" s="470"/>
      <c r="R125" s="474">
        <v>-2487</v>
      </c>
      <c r="S125" s="474">
        <v>47828</v>
      </c>
      <c r="T125" s="474">
        <v>-737</v>
      </c>
      <c r="U125" s="474">
        <v>-11672</v>
      </c>
      <c r="V125" s="474">
        <v>32932</v>
      </c>
      <c r="W125" s="470"/>
      <c r="X125" s="474">
        <v>699</v>
      </c>
      <c r="Y125" s="474">
        <v>-10562</v>
      </c>
      <c r="Z125" s="474">
        <v>-780</v>
      </c>
      <c r="AA125" s="474">
        <v>-28291</v>
      </c>
      <c r="AB125" s="474">
        <v>-38934</v>
      </c>
      <c r="AC125" s="470"/>
      <c r="AD125" s="474">
        <v>-3972</v>
      </c>
      <c r="AE125" s="474">
        <v>-6360</v>
      </c>
      <c r="AF125" s="474">
        <v>6529</v>
      </c>
      <c r="AG125" s="474">
        <v>-23888</v>
      </c>
      <c r="AH125" s="474">
        <v>-27691</v>
      </c>
      <c r="AI125" s="470"/>
      <c r="AJ125" s="474">
        <v>-46614</v>
      </c>
      <c r="AK125" s="474">
        <v>-44463</v>
      </c>
      <c r="AL125" s="474">
        <v>-1293</v>
      </c>
      <c r="AM125" s="474">
        <v>-44790</v>
      </c>
      <c r="AN125" s="474">
        <v>-137160</v>
      </c>
      <c r="AO125" s="470"/>
      <c r="AP125" s="474">
        <v>157</v>
      </c>
      <c r="AQ125" s="474">
        <v>-2099</v>
      </c>
      <c r="AR125" s="474">
        <v>-7061</v>
      </c>
      <c r="AS125" s="474">
        <v>-14640</v>
      </c>
      <c r="AT125" s="474">
        <v>-23643</v>
      </c>
    </row>
    <row r="126" spans="1:46" s="182" customFormat="1" ht="15" hidden="1" customHeight="1" outlineLevel="1" x14ac:dyDescent="0.25">
      <c r="A126" s="184" t="str">
        <f>IF(Contents!$A$1=2,"Total other income","Прочие доходы")</f>
        <v>Прочие доходы</v>
      </c>
      <c r="B126" s="258" t="str">
        <f>IF(Contents!$A$1=2,"mln RUB","млн руб.")</f>
        <v>млн руб.</v>
      </c>
      <c r="C126" s="183"/>
      <c r="D126" s="460">
        <v>22564</v>
      </c>
      <c r="E126" s="482"/>
      <c r="F126" s="460">
        <v>4167</v>
      </c>
      <c r="G126" s="460">
        <v>5710</v>
      </c>
      <c r="H126" s="460">
        <v>41719</v>
      </c>
      <c r="I126" s="460">
        <v>9751</v>
      </c>
      <c r="J126" s="460">
        <v>61347</v>
      </c>
      <c r="K126" s="469"/>
      <c r="L126" s="460">
        <v>4600</v>
      </c>
      <c r="M126" s="460">
        <v>4124</v>
      </c>
      <c r="N126" s="460">
        <v>8466</v>
      </c>
      <c r="O126" s="460">
        <v>15233</v>
      </c>
      <c r="P126" s="460">
        <v>32423</v>
      </c>
      <c r="Q126" s="469"/>
      <c r="R126" s="460">
        <v>4818</v>
      </c>
      <c r="S126" s="460">
        <v>58283</v>
      </c>
      <c r="T126" s="460">
        <v>6691</v>
      </c>
      <c r="U126" s="460">
        <v>35065</v>
      </c>
      <c r="V126" s="460">
        <v>104857</v>
      </c>
      <c r="W126" s="469"/>
      <c r="X126" s="460">
        <v>4626</v>
      </c>
      <c r="Y126" s="460">
        <v>2341</v>
      </c>
      <c r="Z126" s="460">
        <v>6796</v>
      </c>
      <c r="AA126" s="460">
        <v>7507</v>
      </c>
      <c r="AB126" s="460">
        <v>21270</v>
      </c>
      <c r="AC126" s="469"/>
      <c r="AD126" s="460">
        <v>2810</v>
      </c>
      <c r="AE126" s="460">
        <v>2765</v>
      </c>
      <c r="AF126" s="460">
        <v>13258</v>
      </c>
      <c r="AG126" s="460">
        <v>13968</v>
      </c>
      <c r="AH126" s="460">
        <v>32801</v>
      </c>
      <c r="AI126" s="469"/>
      <c r="AJ126" s="460">
        <v>3541</v>
      </c>
      <c r="AK126" s="460">
        <v>3647</v>
      </c>
      <c r="AL126" s="460">
        <v>7669</v>
      </c>
      <c r="AM126" s="460">
        <v>3113</v>
      </c>
      <c r="AN126" s="460">
        <v>17970</v>
      </c>
      <c r="AO126" s="469"/>
      <c r="AP126" s="460">
        <v>4160</v>
      </c>
      <c r="AQ126" s="460">
        <v>4676</v>
      </c>
      <c r="AR126" s="460">
        <v>3628</v>
      </c>
      <c r="AS126" s="460">
        <v>31702</v>
      </c>
      <c r="AT126" s="460">
        <v>44166</v>
      </c>
    </row>
    <row r="127" spans="1:46" s="179" customFormat="1" ht="15" hidden="1" customHeight="1" outlineLevel="1" x14ac:dyDescent="0.25">
      <c r="A127" s="168" t="str">
        <f>IF(Contents!$A$1=2,"Gain on disposal of assets","Прибыль от реализации и выбытия активов")</f>
        <v>Прибыль от реализации и выбытия активов</v>
      </c>
      <c r="B127" s="255" t="str">
        <f>IF(Contents!$A$1=2,"mln RUB","млн руб.")</f>
        <v>млн руб.</v>
      </c>
      <c r="C127" s="180"/>
      <c r="D127" s="427">
        <v>6089</v>
      </c>
      <c r="E127" s="428"/>
      <c r="F127" s="427">
        <v>989</v>
      </c>
      <c r="G127" s="427">
        <v>1761</v>
      </c>
      <c r="H127" s="427">
        <v>38639</v>
      </c>
      <c r="I127" s="427">
        <v>2556</v>
      </c>
      <c r="J127" s="427">
        <v>43945</v>
      </c>
      <c r="K127" s="428"/>
      <c r="L127" s="427">
        <v>740</v>
      </c>
      <c r="M127" s="427">
        <v>176</v>
      </c>
      <c r="N127" s="427">
        <v>1781</v>
      </c>
      <c r="O127" s="427">
        <v>11752</v>
      </c>
      <c r="P127" s="427">
        <v>14449</v>
      </c>
      <c r="Q127" s="428"/>
      <c r="R127" s="427">
        <v>210</v>
      </c>
      <c r="S127" s="427">
        <v>50209</v>
      </c>
      <c r="T127" s="427">
        <v>280</v>
      </c>
      <c r="U127" s="427">
        <v>7534</v>
      </c>
      <c r="V127" s="427">
        <v>58233</v>
      </c>
      <c r="W127" s="428"/>
      <c r="X127" s="427">
        <v>189</v>
      </c>
      <c r="Y127" s="427">
        <v>413</v>
      </c>
      <c r="Z127" s="427">
        <v>401</v>
      </c>
      <c r="AA127" s="427">
        <v>1916</v>
      </c>
      <c r="AB127" s="427">
        <v>2919</v>
      </c>
      <c r="AC127" s="428"/>
      <c r="AD127" s="427">
        <v>500</v>
      </c>
      <c r="AE127" s="427">
        <v>438</v>
      </c>
      <c r="AF127" s="427">
        <v>8854</v>
      </c>
      <c r="AG127" s="427">
        <v>704</v>
      </c>
      <c r="AH127" s="427">
        <v>10496</v>
      </c>
      <c r="AI127" s="428"/>
      <c r="AJ127" s="427">
        <v>338</v>
      </c>
      <c r="AK127" s="427">
        <v>347</v>
      </c>
      <c r="AL127" s="427">
        <v>811</v>
      </c>
      <c r="AM127" s="427">
        <v>1122</v>
      </c>
      <c r="AN127" s="427">
        <v>2618</v>
      </c>
      <c r="AO127" s="428"/>
      <c r="AP127" s="427">
        <v>660</v>
      </c>
      <c r="AQ127" s="427">
        <v>1463</v>
      </c>
      <c r="AR127" s="427">
        <v>1545</v>
      </c>
      <c r="AS127" s="427">
        <v>1592</v>
      </c>
      <c r="AT127" s="427">
        <v>5260</v>
      </c>
    </row>
    <row r="128" spans="1:46" s="179" customFormat="1" ht="15" hidden="1" customHeight="1" outlineLevel="1" x14ac:dyDescent="0.25">
      <c r="A128" s="338" t="str">
        <f>IF(Contents!$A$1=2,"Reversal of impairment of assets","Восстановление убытка от обесценения активов")</f>
        <v>Восстановление убытка от обесценения активов</v>
      </c>
      <c r="B128" s="255" t="str">
        <f>IF(Contents!$A$1=2,"mln RUB","млн руб.")</f>
        <v>млн руб.</v>
      </c>
      <c r="C128" s="180"/>
      <c r="D128" s="427">
        <v>291</v>
      </c>
      <c r="E128" s="428"/>
      <c r="F128" s="427">
        <v>293</v>
      </c>
      <c r="G128" s="427">
        <v>3</v>
      </c>
      <c r="H128" s="427">
        <v>4</v>
      </c>
      <c r="I128" s="427">
        <v>992</v>
      </c>
      <c r="J128" s="427">
        <v>1292</v>
      </c>
      <c r="K128" s="428"/>
      <c r="L128" s="427">
        <v>0</v>
      </c>
      <c r="M128" s="427">
        <v>0</v>
      </c>
      <c r="N128" s="427">
        <v>0</v>
      </c>
      <c r="O128" s="427">
        <v>891</v>
      </c>
      <c r="P128" s="427">
        <v>891</v>
      </c>
      <c r="Q128" s="428"/>
      <c r="R128" s="427">
        <v>0</v>
      </c>
      <c r="S128" s="427">
        <v>4257</v>
      </c>
      <c r="T128" s="427">
        <v>1021</v>
      </c>
      <c r="U128" s="427">
        <v>23170</v>
      </c>
      <c r="V128" s="427">
        <v>28448</v>
      </c>
      <c r="W128" s="428"/>
      <c r="X128" s="427">
        <v>0</v>
      </c>
      <c r="Y128" s="427">
        <v>0</v>
      </c>
      <c r="Z128" s="427">
        <v>0</v>
      </c>
      <c r="AA128" s="427">
        <v>0</v>
      </c>
      <c r="AB128" s="427">
        <v>0</v>
      </c>
      <c r="AC128" s="428"/>
      <c r="AD128" s="427">
        <v>0</v>
      </c>
      <c r="AE128" s="427">
        <v>0</v>
      </c>
      <c r="AF128" s="427">
        <v>2138</v>
      </c>
      <c r="AG128" s="427">
        <v>11330</v>
      </c>
      <c r="AH128" s="427">
        <v>13468</v>
      </c>
      <c r="AI128" s="428"/>
      <c r="AJ128" s="427">
        <v>122</v>
      </c>
      <c r="AK128" s="427">
        <v>1787</v>
      </c>
      <c r="AL128" s="427">
        <v>5358</v>
      </c>
      <c r="AM128" s="427">
        <v>0</v>
      </c>
      <c r="AN128" s="427">
        <v>7267</v>
      </c>
      <c r="AO128" s="428"/>
      <c r="AP128" s="427">
        <v>0</v>
      </c>
      <c r="AQ128" s="427">
        <v>0</v>
      </c>
      <c r="AR128" s="427">
        <v>0</v>
      </c>
      <c r="AS128" s="427">
        <v>26687</v>
      </c>
      <c r="AT128" s="427">
        <v>26687</v>
      </c>
    </row>
    <row r="129" spans="1:46" s="182" customFormat="1" ht="15" hidden="1" customHeight="1" outlineLevel="1" x14ac:dyDescent="0.25">
      <c r="A129" s="168" t="str">
        <f>IF(Contents!$A$1=2,"Other income","Прочие доходы")</f>
        <v>Прочие доходы</v>
      </c>
      <c r="B129" s="255" t="str">
        <f>IF(Contents!$A$1=2,"mln RUB","млн руб.")</f>
        <v>млн руб.</v>
      </c>
      <c r="C129" s="180"/>
      <c r="D129" s="427">
        <v>16184</v>
      </c>
      <c r="E129" s="428"/>
      <c r="F129" s="427">
        <v>2885</v>
      </c>
      <c r="G129" s="427">
        <v>3946</v>
      </c>
      <c r="H129" s="427">
        <v>3076</v>
      </c>
      <c r="I129" s="427">
        <v>6203</v>
      </c>
      <c r="J129" s="427">
        <v>16110</v>
      </c>
      <c r="K129" s="428"/>
      <c r="L129" s="427">
        <v>3860</v>
      </c>
      <c r="M129" s="427">
        <v>3948</v>
      </c>
      <c r="N129" s="427">
        <v>6685</v>
      </c>
      <c r="O129" s="427">
        <v>2590</v>
      </c>
      <c r="P129" s="427">
        <v>17083</v>
      </c>
      <c r="Q129" s="428"/>
      <c r="R129" s="427">
        <v>4608</v>
      </c>
      <c r="S129" s="427">
        <v>3817</v>
      </c>
      <c r="T129" s="427">
        <v>5390</v>
      </c>
      <c r="U129" s="427">
        <v>4361</v>
      </c>
      <c r="V129" s="427">
        <v>18176</v>
      </c>
      <c r="W129" s="428"/>
      <c r="X129" s="427">
        <v>4437</v>
      </c>
      <c r="Y129" s="427">
        <v>1928</v>
      </c>
      <c r="Z129" s="427">
        <v>6395</v>
      </c>
      <c r="AA129" s="427">
        <v>5591</v>
      </c>
      <c r="AB129" s="427">
        <v>18351</v>
      </c>
      <c r="AC129" s="428"/>
      <c r="AD129" s="427">
        <v>2310</v>
      </c>
      <c r="AE129" s="427">
        <v>2327</v>
      </c>
      <c r="AF129" s="427">
        <v>2266</v>
      </c>
      <c r="AG129" s="427">
        <v>1934</v>
      </c>
      <c r="AH129" s="427">
        <v>8837</v>
      </c>
      <c r="AI129" s="428"/>
      <c r="AJ129" s="427">
        <v>3081</v>
      </c>
      <c r="AK129" s="427">
        <v>1513</v>
      </c>
      <c r="AL129" s="427">
        <v>1500</v>
      </c>
      <c r="AM129" s="427">
        <v>1991</v>
      </c>
      <c r="AN129" s="427">
        <v>8085</v>
      </c>
      <c r="AO129" s="428"/>
      <c r="AP129" s="427">
        <v>3500</v>
      </c>
      <c r="AQ129" s="427">
        <v>3213</v>
      </c>
      <c r="AR129" s="427">
        <v>2083</v>
      </c>
      <c r="AS129" s="427">
        <v>3423</v>
      </c>
      <c r="AT129" s="427">
        <v>12219</v>
      </c>
    </row>
    <row r="130" spans="1:46" s="182" customFormat="1" ht="15" hidden="1" customHeight="1" outlineLevel="1" x14ac:dyDescent="0.25">
      <c r="A130" s="184" t="str">
        <f>IF(Contents!$A$1=2,"Total other expenses","Прочие расходы")</f>
        <v>Прочие расходы</v>
      </c>
      <c r="B130" s="258" t="str">
        <f>IF(Contents!$A$1=2,"mln RUB","млн руб.")</f>
        <v>млн руб.</v>
      </c>
      <c r="C130" s="183"/>
      <c r="D130" s="460">
        <v>-118438</v>
      </c>
      <c r="E130" s="469"/>
      <c r="F130" s="460">
        <v>-9939</v>
      </c>
      <c r="G130" s="460">
        <v>-8494</v>
      </c>
      <c r="H130" s="460">
        <v>-5177</v>
      </c>
      <c r="I130" s="460">
        <v>-201860</v>
      </c>
      <c r="J130" s="460">
        <v>-225470</v>
      </c>
      <c r="K130" s="469"/>
      <c r="L130" s="460">
        <v>-7943</v>
      </c>
      <c r="M130" s="460">
        <v>-8329</v>
      </c>
      <c r="N130" s="460">
        <v>-5594</v>
      </c>
      <c r="O130" s="460">
        <v>-20902</v>
      </c>
      <c r="P130" s="460">
        <v>-42768</v>
      </c>
      <c r="Q130" s="469"/>
      <c r="R130" s="460">
        <v>-7305</v>
      </c>
      <c r="S130" s="460">
        <v>-10455</v>
      </c>
      <c r="T130" s="460">
        <v>-7428</v>
      </c>
      <c r="U130" s="460">
        <v>-46737</v>
      </c>
      <c r="V130" s="460">
        <v>-71925</v>
      </c>
      <c r="W130" s="469"/>
      <c r="X130" s="460">
        <v>-3927</v>
      </c>
      <c r="Y130" s="460">
        <v>-12903</v>
      </c>
      <c r="Z130" s="460">
        <v>-7576</v>
      </c>
      <c r="AA130" s="460">
        <v>-35798</v>
      </c>
      <c r="AB130" s="460">
        <v>-60204</v>
      </c>
      <c r="AC130" s="469"/>
      <c r="AD130" s="460">
        <v>-6782</v>
      </c>
      <c r="AE130" s="460">
        <v>-9125</v>
      </c>
      <c r="AF130" s="460">
        <v>-6729</v>
      </c>
      <c r="AG130" s="460">
        <v>-37856</v>
      </c>
      <c r="AH130" s="460">
        <v>-60492</v>
      </c>
      <c r="AI130" s="469"/>
      <c r="AJ130" s="460">
        <v>-50155</v>
      </c>
      <c r="AK130" s="460">
        <v>-48110</v>
      </c>
      <c r="AL130" s="460">
        <v>-8962</v>
      </c>
      <c r="AM130" s="460">
        <v>-47903</v>
      </c>
      <c r="AN130" s="460">
        <v>-155130</v>
      </c>
      <c r="AO130" s="469"/>
      <c r="AP130" s="460">
        <v>-4003</v>
      </c>
      <c r="AQ130" s="460">
        <v>-6775</v>
      </c>
      <c r="AR130" s="460">
        <v>-10689</v>
      </c>
      <c r="AS130" s="460">
        <v>-46342</v>
      </c>
      <c r="AT130" s="460">
        <v>-67809</v>
      </c>
    </row>
    <row r="131" spans="1:46" s="179" customFormat="1" ht="15" hidden="1" customHeight="1" outlineLevel="1" x14ac:dyDescent="0.25">
      <c r="A131" s="168" t="str">
        <f>IF(Contents!$A$1=2,"Loss on disposal of assets","Убыток от реализации и выбытия активов")</f>
        <v>Убыток от реализации и выбытия активов</v>
      </c>
      <c r="B131" s="255" t="str">
        <f>IF(Contents!$A$1=2,"mln RUB","млн руб.")</f>
        <v>млн руб.</v>
      </c>
      <c r="C131" s="180"/>
      <c r="D131" s="427">
        <v>-22278</v>
      </c>
      <c r="E131" s="428"/>
      <c r="F131" s="427">
        <v>-1439</v>
      </c>
      <c r="G131" s="427">
        <v>-4688</v>
      </c>
      <c r="H131" s="427">
        <v>-2791</v>
      </c>
      <c r="I131" s="427">
        <v>-15133</v>
      </c>
      <c r="J131" s="427">
        <v>-24051</v>
      </c>
      <c r="K131" s="428"/>
      <c r="L131" s="427">
        <v>-2345</v>
      </c>
      <c r="M131" s="427">
        <v>-2825</v>
      </c>
      <c r="N131" s="427">
        <v>-1927</v>
      </c>
      <c r="O131" s="427">
        <v>-5803</v>
      </c>
      <c r="P131" s="427">
        <v>-12900</v>
      </c>
      <c r="Q131" s="428"/>
      <c r="R131" s="427">
        <v>-3475</v>
      </c>
      <c r="S131" s="427">
        <v>-5248</v>
      </c>
      <c r="T131" s="427">
        <v>-3239</v>
      </c>
      <c r="U131" s="427">
        <v>-3982</v>
      </c>
      <c r="V131" s="427">
        <v>-15944</v>
      </c>
      <c r="W131" s="428"/>
      <c r="X131" s="427">
        <v>-1809</v>
      </c>
      <c r="Y131" s="427">
        <v>-4683</v>
      </c>
      <c r="Z131" s="427">
        <v>-3645</v>
      </c>
      <c r="AA131" s="427">
        <v>-7116</v>
      </c>
      <c r="AB131" s="427">
        <v>-17253</v>
      </c>
      <c r="AC131" s="428"/>
      <c r="AD131" s="427">
        <v>-2060</v>
      </c>
      <c r="AE131" s="427">
        <v>-3096</v>
      </c>
      <c r="AF131" s="427">
        <v>-3293</v>
      </c>
      <c r="AG131" s="427">
        <v>-9607</v>
      </c>
      <c r="AH131" s="427">
        <v>-18056</v>
      </c>
      <c r="AI131" s="428"/>
      <c r="AJ131" s="427">
        <v>-2257</v>
      </c>
      <c r="AK131" s="427">
        <v>-5267</v>
      </c>
      <c r="AL131" s="427">
        <v>-4796</v>
      </c>
      <c r="AM131" s="427">
        <v>-8435</v>
      </c>
      <c r="AN131" s="427">
        <v>-20755</v>
      </c>
      <c r="AO131" s="428"/>
      <c r="AP131" s="427">
        <v>-2086</v>
      </c>
      <c r="AQ131" s="427">
        <v>-2740</v>
      </c>
      <c r="AR131" s="427">
        <v>-4002</v>
      </c>
      <c r="AS131" s="427">
        <v>-5527</v>
      </c>
      <c r="AT131" s="427">
        <v>-14355</v>
      </c>
    </row>
    <row r="132" spans="1:46" s="179" customFormat="1" ht="15" hidden="1" customHeight="1" outlineLevel="1" x14ac:dyDescent="0.25">
      <c r="A132" s="168" t="str">
        <f>IF(Contents!$A$1=2,"Impairment loss","Убыток от обесценения активов")</f>
        <v>Убыток от обесценения активов</v>
      </c>
      <c r="B132" s="255" t="str">
        <f>IF(Contents!$A$1=2,"mln RUB","млн руб.")</f>
        <v>млн руб.</v>
      </c>
      <c r="C132" s="180"/>
      <c r="D132" s="427">
        <v>-75441</v>
      </c>
      <c r="E132" s="428"/>
      <c r="F132" s="427">
        <v>-4981</v>
      </c>
      <c r="G132" s="427">
        <v>-189</v>
      </c>
      <c r="H132" s="427">
        <v>-135</v>
      </c>
      <c r="I132" s="427">
        <v>-181745</v>
      </c>
      <c r="J132" s="427">
        <v>-187050</v>
      </c>
      <c r="K132" s="428"/>
      <c r="L132" s="427">
        <v>-108</v>
      </c>
      <c r="M132" s="427">
        <v>-356</v>
      </c>
      <c r="N132" s="427">
        <v>-219</v>
      </c>
      <c r="O132" s="427">
        <v>-8788</v>
      </c>
      <c r="P132" s="427">
        <v>-9471</v>
      </c>
      <c r="Q132" s="428"/>
      <c r="R132" s="427">
        <v>0</v>
      </c>
      <c r="S132" s="427">
        <v>-2458</v>
      </c>
      <c r="T132" s="427">
        <v>-70</v>
      </c>
      <c r="U132" s="427">
        <v>-28858</v>
      </c>
      <c r="V132" s="427">
        <v>-31386</v>
      </c>
      <c r="W132" s="428"/>
      <c r="X132" s="427">
        <v>0</v>
      </c>
      <c r="Y132" s="427">
        <v>-5010</v>
      </c>
      <c r="Z132" s="427">
        <v>-23</v>
      </c>
      <c r="AA132" s="427">
        <v>-6694</v>
      </c>
      <c r="AB132" s="427">
        <v>-11727</v>
      </c>
      <c r="AC132" s="428"/>
      <c r="AD132" s="427">
        <v>0</v>
      </c>
      <c r="AE132" s="427">
        <v>-146</v>
      </c>
      <c r="AF132" s="427">
        <v>0</v>
      </c>
      <c r="AG132" s="427">
        <v>-22737</v>
      </c>
      <c r="AH132" s="427">
        <v>-22883</v>
      </c>
      <c r="AI132" s="428"/>
      <c r="AJ132" s="427">
        <v>-44064</v>
      </c>
      <c r="AK132" s="427">
        <v>-38769</v>
      </c>
      <c r="AL132" s="427">
        <v>0</v>
      </c>
      <c r="AM132" s="427">
        <v>-31832</v>
      </c>
      <c r="AN132" s="427">
        <v>-114665</v>
      </c>
      <c r="AO132" s="428"/>
      <c r="AP132" s="427">
        <v>0</v>
      </c>
      <c r="AQ132" s="427">
        <v>0</v>
      </c>
      <c r="AR132" s="427">
        <v>0</v>
      </c>
      <c r="AS132" s="427">
        <v>-36647</v>
      </c>
      <c r="AT132" s="427">
        <v>-36647</v>
      </c>
    </row>
    <row r="133" spans="1:46" s="179" customFormat="1" ht="15" hidden="1" customHeight="1" outlineLevel="1" x14ac:dyDescent="0.25">
      <c r="A133" s="168" t="str">
        <f>IF(Contents!$A$1=2,"Charity expenses","Росходы на блоготворительность")</f>
        <v>Росходы на блоготворительность</v>
      </c>
      <c r="B133" s="255" t="str">
        <f>IF(Contents!$A$1=2,"mln RUB","млн руб.")</f>
        <v>млн руб.</v>
      </c>
      <c r="C133" s="180"/>
      <c r="D133" s="427">
        <v>-6997</v>
      </c>
      <c r="E133" s="428"/>
      <c r="F133" s="427">
        <v>-1406</v>
      </c>
      <c r="G133" s="427">
        <v>-2299</v>
      </c>
      <c r="H133" s="427">
        <v>-2026</v>
      </c>
      <c r="I133" s="427">
        <v>-2198</v>
      </c>
      <c r="J133" s="427">
        <v>-7929</v>
      </c>
      <c r="K133" s="428"/>
      <c r="L133" s="427">
        <v>-2417</v>
      </c>
      <c r="M133" s="427">
        <v>-3926</v>
      </c>
      <c r="N133" s="427">
        <v>-2771</v>
      </c>
      <c r="O133" s="427">
        <v>-2946</v>
      </c>
      <c r="P133" s="427">
        <v>-12060</v>
      </c>
      <c r="Q133" s="428"/>
      <c r="R133" s="427">
        <v>-2134</v>
      </c>
      <c r="S133" s="427">
        <v>-2361</v>
      </c>
      <c r="T133" s="427">
        <v>-2220</v>
      </c>
      <c r="U133" s="427">
        <v>-2294</v>
      </c>
      <c r="V133" s="427">
        <v>-9009</v>
      </c>
      <c r="W133" s="428"/>
      <c r="X133" s="427">
        <v>-1653</v>
      </c>
      <c r="Y133" s="427">
        <v>-2518</v>
      </c>
      <c r="Z133" s="427">
        <v>-2001</v>
      </c>
      <c r="AA133" s="427">
        <v>-2613</v>
      </c>
      <c r="AB133" s="427">
        <v>-8785</v>
      </c>
      <c r="AC133" s="428"/>
      <c r="AD133" s="427">
        <v>-2037</v>
      </c>
      <c r="AE133" s="427">
        <v>-3343</v>
      </c>
      <c r="AF133" s="427">
        <v>-2225</v>
      </c>
      <c r="AG133" s="427">
        <v>-1623</v>
      </c>
      <c r="AH133" s="427">
        <v>-9228</v>
      </c>
      <c r="AI133" s="428"/>
      <c r="AJ133" s="427">
        <v>-2311</v>
      </c>
      <c r="AK133" s="427">
        <v>-2108</v>
      </c>
      <c r="AL133" s="427">
        <v>-1997</v>
      </c>
      <c r="AM133" s="427">
        <v>-2007</v>
      </c>
      <c r="AN133" s="427">
        <v>-8423</v>
      </c>
      <c r="AO133" s="428"/>
      <c r="AP133" s="427">
        <v>-1615</v>
      </c>
      <c r="AQ133" s="427">
        <v>-2080</v>
      </c>
      <c r="AR133" s="427">
        <v>-1510</v>
      </c>
      <c r="AS133" s="427">
        <v>-1446</v>
      </c>
      <c r="AT133" s="427">
        <v>-6651</v>
      </c>
    </row>
    <row r="134" spans="1:46" s="179" customFormat="1" ht="15" hidden="1" customHeight="1" outlineLevel="1" x14ac:dyDescent="0.25">
      <c r="A134" s="168" t="str">
        <f>IF(Contents!$A$1=2,"Other expenses","Прочие расходы")</f>
        <v>Прочие расходы</v>
      </c>
      <c r="B134" s="255" t="str">
        <f>IF(Contents!$A$1=2,"mln RUB","млн руб.")</f>
        <v>млн руб.</v>
      </c>
      <c r="C134" s="180"/>
      <c r="D134" s="427">
        <v>-13722</v>
      </c>
      <c r="E134" s="428"/>
      <c r="F134" s="427">
        <v>-2113</v>
      </c>
      <c r="G134" s="427">
        <v>-1318</v>
      </c>
      <c r="H134" s="427">
        <v>-225</v>
      </c>
      <c r="I134" s="427">
        <v>-2784</v>
      </c>
      <c r="J134" s="427">
        <v>-6440</v>
      </c>
      <c r="K134" s="428"/>
      <c r="L134" s="427">
        <v>-3073</v>
      </c>
      <c r="M134" s="427">
        <v>-1222</v>
      </c>
      <c r="N134" s="427">
        <v>-677</v>
      </c>
      <c r="O134" s="427">
        <v>-3365</v>
      </c>
      <c r="P134" s="427">
        <v>-8337</v>
      </c>
      <c r="Q134" s="428"/>
      <c r="R134" s="427">
        <v>-1696</v>
      </c>
      <c r="S134" s="427">
        <v>-388</v>
      </c>
      <c r="T134" s="427">
        <v>-1899</v>
      </c>
      <c r="U134" s="427">
        <v>-11603</v>
      </c>
      <c r="V134" s="427">
        <v>-15586</v>
      </c>
      <c r="W134" s="428"/>
      <c r="X134" s="427">
        <v>-465</v>
      </c>
      <c r="Y134" s="427">
        <v>-692</v>
      </c>
      <c r="Z134" s="427">
        <v>-1907</v>
      </c>
      <c r="AA134" s="427">
        <v>-19375</v>
      </c>
      <c r="AB134" s="427">
        <v>-22439</v>
      </c>
      <c r="AC134" s="428"/>
      <c r="AD134" s="427">
        <v>-2685</v>
      </c>
      <c r="AE134" s="427">
        <v>-2540</v>
      </c>
      <c r="AF134" s="427">
        <v>-1211</v>
      </c>
      <c r="AG134" s="427">
        <v>-3889</v>
      </c>
      <c r="AH134" s="427">
        <v>-10325</v>
      </c>
      <c r="AI134" s="428"/>
      <c r="AJ134" s="427">
        <v>-1523</v>
      </c>
      <c r="AK134" s="427">
        <v>-1966</v>
      </c>
      <c r="AL134" s="427">
        <v>-2169</v>
      </c>
      <c r="AM134" s="427">
        <v>-5629</v>
      </c>
      <c r="AN134" s="427">
        <v>-11287</v>
      </c>
      <c r="AO134" s="428"/>
      <c r="AP134" s="427">
        <v>-302</v>
      </c>
      <c r="AQ134" s="427">
        <v>-1955</v>
      </c>
      <c r="AR134" s="427">
        <v>-5177</v>
      </c>
      <c r="AS134" s="427">
        <v>-2722</v>
      </c>
      <c r="AT134" s="427">
        <v>-10156</v>
      </c>
    </row>
    <row r="135" spans="1:46" ht="15" customHeight="1" x14ac:dyDescent="0.2">
      <c r="A135" s="113" t="str">
        <f>IF(Contents!$A$1=2,"(Loss) profit before income taxes","(Убыток) прибыль до налога на прибыль")</f>
        <v>(Убыток) прибыль до налога на прибыль</v>
      </c>
      <c r="B135" s="256" t="str">
        <f>IF(Contents!$A$1=2,"mln RUB","млн руб.")</f>
        <v>млн руб.</v>
      </c>
      <c r="C135" s="79"/>
      <c r="D135" s="458">
        <v>484855</v>
      </c>
      <c r="E135" s="467"/>
      <c r="F135" s="458">
        <v>129312</v>
      </c>
      <c r="G135" s="458">
        <v>83075</v>
      </c>
      <c r="H135" s="458">
        <v>227948</v>
      </c>
      <c r="I135" s="458">
        <v>-51231</v>
      </c>
      <c r="J135" s="458">
        <v>389104</v>
      </c>
      <c r="K135" s="467"/>
      <c r="L135" s="458">
        <v>54736</v>
      </c>
      <c r="M135" s="458">
        <v>80651</v>
      </c>
      <c r="N135" s="458">
        <v>75792</v>
      </c>
      <c r="O135" s="458">
        <v>61336</v>
      </c>
      <c r="P135" s="458">
        <v>272515</v>
      </c>
      <c r="Q135" s="467"/>
      <c r="R135" s="458">
        <v>78449</v>
      </c>
      <c r="S135" s="458">
        <v>170786</v>
      </c>
      <c r="T135" s="458">
        <v>128369</v>
      </c>
      <c r="U135" s="458">
        <v>146580</v>
      </c>
      <c r="V135" s="458">
        <v>524184</v>
      </c>
      <c r="W135" s="467"/>
      <c r="X135" s="458">
        <v>132542</v>
      </c>
      <c r="Y135" s="458">
        <v>211863</v>
      </c>
      <c r="Z135" s="458">
        <v>228350</v>
      </c>
      <c r="AA135" s="458">
        <v>200264</v>
      </c>
      <c r="AB135" s="458">
        <v>773019</v>
      </c>
      <c r="AC135" s="467"/>
      <c r="AD135" s="458">
        <v>192586</v>
      </c>
      <c r="AE135" s="458">
        <v>223728</v>
      </c>
      <c r="AF135" s="458">
        <v>226768</v>
      </c>
      <c r="AG135" s="458">
        <v>150272</v>
      </c>
      <c r="AH135" s="458">
        <v>793354</v>
      </c>
      <c r="AI135" s="467"/>
      <c r="AJ135" s="458">
        <v>-22406</v>
      </c>
      <c r="AK135" s="458">
        <v>-5793</v>
      </c>
      <c r="AL135" s="458">
        <v>66168</v>
      </c>
      <c r="AM135" s="458">
        <v>60818</v>
      </c>
      <c r="AN135" s="458">
        <v>98787</v>
      </c>
      <c r="AO135" s="467"/>
      <c r="AP135" s="458">
        <v>198979</v>
      </c>
      <c r="AQ135" s="458">
        <v>229990</v>
      </c>
      <c r="AR135" s="458">
        <v>242168</v>
      </c>
      <c r="AS135" s="458">
        <v>295827</v>
      </c>
      <c r="AT135" s="458">
        <v>966964</v>
      </c>
    </row>
    <row r="136" spans="1:46" ht="15" customHeight="1" x14ac:dyDescent="0.2">
      <c r="A136" s="100" t="str">
        <f>IF(Contents!$A$1=2,"Current income taxes","Текущий налог на прибыль")</f>
        <v>Текущий налог на прибыль</v>
      </c>
      <c r="B136" s="250" t="str">
        <f>IF(Contents!$A$1=2,"mln RUB","млн руб.")</f>
        <v>млн руб.</v>
      </c>
      <c r="C136" s="82"/>
      <c r="D136" s="474">
        <v>-103303</v>
      </c>
      <c r="E136" s="470"/>
      <c r="F136" s="474">
        <v>-22940</v>
      </c>
      <c r="G136" s="474">
        <v>-19394</v>
      </c>
      <c r="H136" s="474">
        <v>-33843</v>
      </c>
      <c r="I136" s="474">
        <v>-24158</v>
      </c>
      <c r="J136" s="474">
        <v>-100335</v>
      </c>
      <c r="K136" s="470"/>
      <c r="L136" s="474">
        <v>-10476</v>
      </c>
      <c r="M136" s="474">
        <v>-17183</v>
      </c>
      <c r="N136" s="474">
        <v>-19389</v>
      </c>
      <c r="O136" s="474">
        <v>-11122</v>
      </c>
      <c r="P136" s="474">
        <v>-58170</v>
      </c>
      <c r="Q136" s="470"/>
      <c r="R136" s="474">
        <v>-12756</v>
      </c>
      <c r="S136" s="474">
        <v>-32183</v>
      </c>
      <c r="T136" s="474">
        <v>-30157</v>
      </c>
      <c r="U136" s="474">
        <v>-24880</v>
      </c>
      <c r="V136" s="474">
        <v>-99976</v>
      </c>
      <c r="W136" s="470"/>
      <c r="X136" s="474">
        <v>-18237</v>
      </c>
      <c r="Y136" s="474">
        <v>-39952</v>
      </c>
      <c r="Z136" s="474">
        <v>-46064</v>
      </c>
      <c r="AA136" s="474">
        <v>-32809</v>
      </c>
      <c r="AB136" s="474">
        <v>-137062</v>
      </c>
      <c r="AC136" s="470"/>
      <c r="AD136" s="474">
        <v>-41381</v>
      </c>
      <c r="AE136" s="474">
        <v>-40675</v>
      </c>
      <c r="AF136" s="474">
        <v>-36954</v>
      </c>
      <c r="AG136" s="474">
        <v>-25605</v>
      </c>
      <c r="AH136" s="474">
        <v>-144615</v>
      </c>
      <c r="AI136" s="470"/>
      <c r="AJ136" s="474">
        <v>-17038</v>
      </c>
      <c r="AK136" s="474">
        <v>-7678</v>
      </c>
      <c r="AL136" s="474">
        <v>-17325</v>
      </c>
      <c r="AM136" s="474">
        <v>-19321</v>
      </c>
      <c r="AN136" s="474">
        <v>-61362</v>
      </c>
      <c r="AO136" s="470"/>
      <c r="AP136" s="474">
        <v>-36369</v>
      </c>
      <c r="AQ136" s="474">
        <v>-36530</v>
      </c>
      <c r="AR136" s="474">
        <v>-48928</v>
      </c>
      <c r="AS136" s="474">
        <v>-41980</v>
      </c>
      <c r="AT136" s="474">
        <v>-163807</v>
      </c>
    </row>
    <row r="137" spans="1:46" ht="15" customHeight="1" x14ac:dyDescent="0.2">
      <c r="A137" s="101" t="str">
        <f>IF(Contents!$A$1=2,"Deferred income taxes","Отложенный налог на прибыль")</f>
        <v>Отложенный налог на прибыль</v>
      </c>
      <c r="B137" s="265" t="str">
        <f>IF(Contents!$A$1=2,"mln RUB","млн руб.")</f>
        <v>млн руб.</v>
      </c>
      <c r="C137" s="102"/>
      <c r="D137" s="454">
        <v>12524</v>
      </c>
      <c r="E137" s="455"/>
      <c r="F137" s="454">
        <v>-1933</v>
      </c>
      <c r="G137" s="454">
        <v>575</v>
      </c>
      <c r="H137" s="454">
        <v>-5508</v>
      </c>
      <c r="I137" s="454">
        <v>10842</v>
      </c>
      <c r="J137" s="454">
        <v>3976</v>
      </c>
      <c r="K137" s="455"/>
      <c r="L137" s="454">
        <v>-1290</v>
      </c>
      <c r="M137" s="454">
        <v>-774</v>
      </c>
      <c r="N137" s="454">
        <v>-1300</v>
      </c>
      <c r="O137" s="454">
        <v>-3339</v>
      </c>
      <c r="P137" s="454">
        <v>-6703</v>
      </c>
      <c r="Q137" s="455"/>
      <c r="R137" s="454">
        <v>-3009</v>
      </c>
      <c r="S137" s="454">
        <v>191</v>
      </c>
      <c r="T137" s="454">
        <v>-427</v>
      </c>
      <c r="U137" s="454">
        <v>-541</v>
      </c>
      <c r="V137" s="454">
        <v>-3786</v>
      </c>
      <c r="W137" s="455"/>
      <c r="X137" s="454">
        <v>-4880</v>
      </c>
      <c r="Y137" s="454">
        <v>-3916</v>
      </c>
      <c r="Z137" s="454">
        <v>2176</v>
      </c>
      <c r="AA137" s="454">
        <v>-8235</v>
      </c>
      <c r="AB137" s="454">
        <v>-14855</v>
      </c>
      <c r="AC137" s="455"/>
      <c r="AD137" s="454">
        <v>-1415</v>
      </c>
      <c r="AE137" s="454">
        <v>-1252</v>
      </c>
      <c r="AF137" s="454">
        <v>1073</v>
      </c>
      <c r="AG137" s="454">
        <v>-4924</v>
      </c>
      <c r="AH137" s="454">
        <v>-6518</v>
      </c>
      <c r="AI137" s="455"/>
      <c r="AJ137" s="454">
        <v>-6340</v>
      </c>
      <c r="AK137" s="454">
        <v>-4986</v>
      </c>
      <c r="AL137" s="454">
        <v>2069</v>
      </c>
      <c r="AM137" s="454">
        <v>-11535</v>
      </c>
      <c r="AN137" s="454">
        <v>-20792</v>
      </c>
      <c r="AO137" s="455"/>
      <c r="AP137" s="454">
        <v>-4643</v>
      </c>
      <c r="AQ137" s="454">
        <v>-3064</v>
      </c>
      <c r="AR137" s="454">
        <v>-121</v>
      </c>
      <c r="AS137" s="454">
        <v>-19816</v>
      </c>
      <c r="AT137" s="454">
        <v>-27644</v>
      </c>
    </row>
    <row r="138" spans="1:46" ht="15" customHeight="1" x14ac:dyDescent="0.2">
      <c r="A138" s="113" t="str">
        <f>IF(Contents!$A$1=2,"Total income tax expense","Итого расход по налогу на прибыль")</f>
        <v>Итого расход по налогу на прибыль</v>
      </c>
      <c r="B138" s="256" t="str">
        <f>IF(Contents!$A$1=2,"mln RUB","млн руб.")</f>
        <v>млн руб.</v>
      </c>
      <c r="C138" s="79"/>
      <c r="D138" s="458">
        <v>-90779</v>
      </c>
      <c r="E138" s="467"/>
      <c r="F138" s="458">
        <v>-24873</v>
      </c>
      <c r="G138" s="458">
        <v>-18819</v>
      </c>
      <c r="H138" s="458">
        <v>-39351</v>
      </c>
      <c r="I138" s="458">
        <v>-13316</v>
      </c>
      <c r="J138" s="458">
        <v>-96359</v>
      </c>
      <c r="K138" s="467"/>
      <c r="L138" s="458">
        <v>-11766</v>
      </c>
      <c r="M138" s="458">
        <v>-17957</v>
      </c>
      <c r="N138" s="458">
        <v>-20689</v>
      </c>
      <c r="O138" s="458">
        <v>-14461</v>
      </c>
      <c r="P138" s="458">
        <v>-64873</v>
      </c>
      <c r="Q138" s="467"/>
      <c r="R138" s="458">
        <v>-15765</v>
      </c>
      <c r="S138" s="458">
        <v>-31992</v>
      </c>
      <c r="T138" s="458">
        <v>-30584</v>
      </c>
      <c r="U138" s="458">
        <v>-25421</v>
      </c>
      <c r="V138" s="458">
        <v>-103762</v>
      </c>
      <c r="W138" s="467"/>
      <c r="X138" s="458">
        <v>-23117</v>
      </c>
      <c r="Y138" s="458">
        <v>-43868</v>
      </c>
      <c r="Z138" s="458">
        <v>-43888</v>
      </c>
      <c r="AA138" s="458">
        <v>-41044</v>
      </c>
      <c r="AB138" s="458">
        <v>-151917</v>
      </c>
      <c r="AC138" s="467"/>
      <c r="AD138" s="458">
        <v>-42796</v>
      </c>
      <c r="AE138" s="458">
        <v>-41927</v>
      </c>
      <c r="AF138" s="458">
        <v>-35881</v>
      </c>
      <c r="AG138" s="458">
        <v>-30529</v>
      </c>
      <c r="AH138" s="458">
        <v>-151133</v>
      </c>
      <c r="AI138" s="467"/>
      <c r="AJ138" s="458">
        <v>-23378</v>
      </c>
      <c r="AK138" s="458">
        <v>-12664</v>
      </c>
      <c r="AL138" s="458">
        <v>-15256</v>
      </c>
      <c r="AM138" s="458">
        <v>-30856</v>
      </c>
      <c r="AN138" s="458">
        <v>-82154</v>
      </c>
      <c r="AO138" s="467"/>
      <c r="AP138" s="458">
        <v>-41012</v>
      </c>
      <c r="AQ138" s="458">
        <v>-39594</v>
      </c>
      <c r="AR138" s="458">
        <v>-49049</v>
      </c>
      <c r="AS138" s="458">
        <v>-61796</v>
      </c>
      <c r="AT138" s="458">
        <v>-191451</v>
      </c>
    </row>
    <row r="139" spans="1:46" s="110" customFormat="1" ht="15" customHeight="1" x14ac:dyDescent="0.2">
      <c r="A139" s="194" t="str">
        <f>IF(Contents!$A$1=2,"(Loss) profit for the period","Чистая прибыль (убыток)")</f>
        <v>Чистая прибыль (убыток)</v>
      </c>
      <c r="B139" s="261" t="str">
        <f>IF(Contents!$A$1=2,"mln RUB","млн руб.")</f>
        <v>млн руб.</v>
      </c>
      <c r="C139" s="109"/>
      <c r="D139" s="473">
        <v>394076</v>
      </c>
      <c r="E139" s="467"/>
      <c r="F139" s="473">
        <v>104439</v>
      </c>
      <c r="G139" s="473">
        <v>64256</v>
      </c>
      <c r="H139" s="473">
        <v>188597</v>
      </c>
      <c r="I139" s="473">
        <v>-64547</v>
      </c>
      <c r="J139" s="473">
        <v>292745</v>
      </c>
      <c r="K139" s="467"/>
      <c r="L139" s="473">
        <v>42970</v>
      </c>
      <c r="M139" s="473">
        <v>62694</v>
      </c>
      <c r="N139" s="473">
        <v>55103</v>
      </c>
      <c r="O139" s="473">
        <v>46875</v>
      </c>
      <c r="P139" s="473">
        <v>207642</v>
      </c>
      <c r="Q139" s="467"/>
      <c r="R139" s="473">
        <v>62684</v>
      </c>
      <c r="S139" s="473">
        <v>138794</v>
      </c>
      <c r="T139" s="473">
        <v>97785</v>
      </c>
      <c r="U139" s="473">
        <v>121159</v>
      </c>
      <c r="V139" s="473">
        <v>420422</v>
      </c>
      <c r="W139" s="467"/>
      <c r="X139" s="473">
        <v>109425</v>
      </c>
      <c r="Y139" s="473">
        <v>167995</v>
      </c>
      <c r="Z139" s="473">
        <v>184462</v>
      </c>
      <c r="AA139" s="473">
        <v>159220</v>
      </c>
      <c r="AB139" s="473">
        <v>621102</v>
      </c>
      <c r="AC139" s="467"/>
      <c r="AD139" s="473">
        <v>149790</v>
      </c>
      <c r="AE139" s="473">
        <v>181801</v>
      </c>
      <c r="AF139" s="473">
        <v>190887</v>
      </c>
      <c r="AG139" s="473">
        <v>119743</v>
      </c>
      <c r="AH139" s="473">
        <v>642221</v>
      </c>
      <c r="AI139" s="467"/>
      <c r="AJ139" s="473">
        <v>-45784</v>
      </c>
      <c r="AK139" s="473">
        <v>-18457</v>
      </c>
      <c r="AL139" s="473">
        <v>50912</v>
      </c>
      <c r="AM139" s="473">
        <v>29962</v>
      </c>
      <c r="AN139" s="473">
        <v>16633</v>
      </c>
      <c r="AO139" s="467"/>
      <c r="AP139" s="473">
        <v>157967</v>
      </c>
      <c r="AQ139" s="473">
        <v>190396</v>
      </c>
      <c r="AR139" s="473">
        <v>193119</v>
      </c>
      <c r="AS139" s="473">
        <v>234031</v>
      </c>
      <c r="AT139" s="473">
        <v>775513</v>
      </c>
    </row>
    <row r="140" spans="1:46" ht="15" customHeight="1" x14ac:dyDescent="0.2">
      <c r="A140" s="100" t="str">
        <f>IF(Contents!$A$1=2,"Non-controlling interests","Чистая прибыль, относящаяся к неконтролирующим долям")</f>
        <v>Чистая прибыль, относящаяся к неконтролирующим долям</v>
      </c>
      <c r="B140" s="250" t="str">
        <f>IF(Contents!$A$1=2,"mln RUB","млн руб.")</f>
        <v>млн руб.</v>
      </c>
      <c r="C140" s="82"/>
      <c r="D140" s="474">
        <v>1449</v>
      </c>
      <c r="E140" s="470"/>
      <c r="F140" s="474">
        <v>-408</v>
      </c>
      <c r="G140" s="474">
        <v>-508</v>
      </c>
      <c r="H140" s="474">
        <v>-204</v>
      </c>
      <c r="I140" s="474">
        <v>-490</v>
      </c>
      <c r="J140" s="474">
        <v>-1610</v>
      </c>
      <c r="K140" s="470"/>
      <c r="L140" s="474">
        <v>-145</v>
      </c>
      <c r="M140" s="474">
        <v>-127</v>
      </c>
      <c r="N140" s="474">
        <v>-300</v>
      </c>
      <c r="O140" s="474">
        <v>-276</v>
      </c>
      <c r="P140" s="474">
        <v>-848</v>
      </c>
      <c r="Q140" s="470"/>
      <c r="R140" s="474">
        <v>-378</v>
      </c>
      <c r="S140" s="474">
        <v>-146</v>
      </c>
      <c r="T140" s="474">
        <v>-444</v>
      </c>
      <c r="U140" s="474">
        <v>-649</v>
      </c>
      <c r="V140" s="474">
        <v>-1617</v>
      </c>
      <c r="W140" s="470"/>
      <c r="X140" s="474">
        <v>-367</v>
      </c>
      <c r="Y140" s="474">
        <v>-673</v>
      </c>
      <c r="Z140" s="474">
        <v>-695</v>
      </c>
      <c r="AA140" s="474">
        <v>-193</v>
      </c>
      <c r="AB140" s="474">
        <v>-1928</v>
      </c>
      <c r="AC140" s="470"/>
      <c r="AD140" s="474">
        <v>-554</v>
      </c>
      <c r="AE140" s="474">
        <v>-556</v>
      </c>
      <c r="AF140" s="474">
        <v>-500</v>
      </c>
      <c r="AG140" s="474">
        <v>-433</v>
      </c>
      <c r="AH140" s="474">
        <v>-2043</v>
      </c>
      <c r="AI140" s="470"/>
      <c r="AJ140" s="474">
        <v>-176</v>
      </c>
      <c r="AK140" s="474">
        <v>-263</v>
      </c>
      <c r="AL140" s="474">
        <v>-492</v>
      </c>
      <c r="AM140" s="474">
        <v>-527</v>
      </c>
      <c r="AN140" s="474">
        <v>-1458</v>
      </c>
      <c r="AO140" s="470"/>
      <c r="AP140" s="474">
        <v>-540</v>
      </c>
      <c r="AQ140" s="474">
        <v>-646</v>
      </c>
      <c r="AR140" s="474">
        <v>-644</v>
      </c>
      <c r="AS140" s="474">
        <v>-241</v>
      </c>
      <c r="AT140" s="474">
        <v>-2071</v>
      </c>
    </row>
    <row r="141" spans="1:46" ht="15" customHeight="1" x14ac:dyDescent="0.2">
      <c r="A141" s="114" t="str">
        <f>IF(Contents!$A$1=2,"PJSC LUKOIL shareholders","Чистая прибыль (убыток), относящаяся к акционерам ПАО «ЛУКОЙЛ»")</f>
        <v>Чистая прибыль (убыток), относящаяся к акционерам ПАО «ЛУКОЙЛ»</v>
      </c>
      <c r="B141" s="254" t="str">
        <f>IF(Contents!$A$1=2,"mln RUB","млн руб.")</f>
        <v>млн руб.</v>
      </c>
      <c r="C141" s="79"/>
      <c r="D141" s="459">
        <v>395525</v>
      </c>
      <c r="E141" s="467"/>
      <c r="F141" s="459">
        <v>104031</v>
      </c>
      <c r="G141" s="459">
        <v>63748</v>
      </c>
      <c r="H141" s="459">
        <v>188393</v>
      </c>
      <c r="I141" s="459">
        <v>-65037</v>
      </c>
      <c r="J141" s="459">
        <v>291135</v>
      </c>
      <c r="K141" s="467"/>
      <c r="L141" s="459">
        <v>42825</v>
      </c>
      <c r="M141" s="459">
        <v>62567</v>
      </c>
      <c r="N141" s="459">
        <v>54803</v>
      </c>
      <c r="O141" s="459">
        <v>46599</v>
      </c>
      <c r="P141" s="459">
        <v>206794</v>
      </c>
      <c r="Q141" s="467"/>
      <c r="R141" s="459">
        <v>62306</v>
      </c>
      <c r="S141" s="459">
        <v>138648</v>
      </c>
      <c r="T141" s="459">
        <v>97341</v>
      </c>
      <c r="U141" s="459">
        <v>120510</v>
      </c>
      <c r="V141" s="459">
        <v>418805</v>
      </c>
      <c r="W141" s="467"/>
      <c r="X141" s="459">
        <v>109058</v>
      </c>
      <c r="Y141" s="459">
        <v>167322</v>
      </c>
      <c r="Z141" s="459">
        <v>183767</v>
      </c>
      <c r="AA141" s="459">
        <v>159027</v>
      </c>
      <c r="AB141" s="459">
        <v>619174</v>
      </c>
      <c r="AC141" s="467"/>
      <c r="AD141" s="459">
        <v>149236</v>
      </c>
      <c r="AE141" s="459">
        <v>181245</v>
      </c>
      <c r="AF141" s="459">
        <v>190387</v>
      </c>
      <c r="AG141" s="459">
        <v>119310</v>
      </c>
      <c r="AH141" s="459">
        <v>640178</v>
      </c>
      <c r="AI141" s="467"/>
      <c r="AJ141" s="459">
        <v>-45960</v>
      </c>
      <c r="AK141" s="459">
        <v>-18720</v>
      </c>
      <c r="AL141" s="459">
        <v>50420</v>
      </c>
      <c r="AM141" s="459">
        <v>29435</v>
      </c>
      <c r="AN141" s="459">
        <v>15175</v>
      </c>
      <c r="AO141" s="467"/>
      <c r="AP141" s="459">
        <v>157427</v>
      </c>
      <c r="AQ141" s="459">
        <v>189750</v>
      </c>
      <c r="AR141" s="459">
        <v>192475</v>
      </c>
      <c r="AS141" s="459">
        <v>233790</v>
      </c>
      <c r="AT141" s="459">
        <v>773442</v>
      </c>
    </row>
    <row r="142" spans="1:46" ht="15" customHeight="1" x14ac:dyDescent="0.2">
      <c r="A142" s="99"/>
      <c r="B142" s="250"/>
      <c r="C142" s="79"/>
      <c r="D142" s="474"/>
      <c r="E142" s="470"/>
      <c r="F142" s="474"/>
      <c r="G142" s="474"/>
      <c r="H142" s="474"/>
      <c r="I142" s="474"/>
      <c r="J142" s="474"/>
      <c r="K142" s="470"/>
      <c r="L142" s="474"/>
      <c r="M142" s="474"/>
      <c r="N142" s="474"/>
      <c r="O142" s="474"/>
      <c r="P142" s="474"/>
      <c r="Q142" s="470"/>
      <c r="R142" s="474"/>
      <c r="S142" s="474"/>
      <c r="T142" s="474"/>
      <c r="U142" s="474"/>
      <c r="V142" s="474"/>
      <c r="W142" s="470"/>
      <c r="X142" s="474"/>
      <c r="Y142" s="474"/>
      <c r="Z142" s="474"/>
      <c r="AA142" s="474"/>
      <c r="AB142" s="474"/>
      <c r="AC142" s="470"/>
      <c r="AD142" s="474"/>
      <c r="AE142" s="474"/>
      <c r="AF142" s="474"/>
      <c r="AG142" s="474"/>
      <c r="AH142" s="474"/>
      <c r="AI142" s="470"/>
      <c r="AJ142" s="474"/>
      <c r="AK142" s="474"/>
      <c r="AL142" s="474"/>
      <c r="AM142" s="474"/>
      <c r="AN142" s="474"/>
      <c r="AO142" s="470"/>
      <c r="AP142" s="474"/>
      <c r="AQ142" s="474"/>
      <c r="AR142" s="474"/>
      <c r="AS142" s="474"/>
      <c r="AT142" s="474"/>
    </row>
    <row r="143" spans="1:46" ht="15" customHeight="1" x14ac:dyDescent="0.2">
      <c r="A143" s="99" t="str">
        <f>IF(Contents!$A$1=2,"Other comprehensive income (loss), net of income taxes","Прочий совокупный доход (расход), за вычетом налога на прибыль")</f>
        <v>Прочий совокупный доход (расход), за вычетом налога на прибыль</v>
      </c>
      <c r="B143" s="250"/>
      <c r="C143" s="79"/>
      <c r="D143" s="474"/>
      <c r="E143" s="470"/>
      <c r="F143" s="474"/>
      <c r="G143" s="474"/>
      <c r="H143" s="474"/>
      <c r="I143" s="474"/>
      <c r="J143" s="474"/>
      <c r="K143" s="470"/>
      <c r="L143" s="474"/>
      <c r="M143" s="474"/>
      <c r="N143" s="474"/>
      <c r="O143" s="474"/>
      <c r="P143" s="474"/>
      <c r="Q143" s="470"/>
      <c r="R143" s="474"/>
      <c r="S143" s="474"/>
      <c r="T143" s="474"/>
      <c r="U143" s="474"/>
      <c r="V143" s="474"/>
      <c r="W143" s="470"/>
      <c r="X143" s="474"/>
      <c r="Y143" s="474"/>
      <c r="Z143" s="474"/>
      <c r="AA143" s="474"/>
      <c r="AB143" s="474"/>
      <c r="AC143" s="470"/>
      <c r="AD143" s="474"/>
      <c r="AE143" s="474"/>
      <c r="AF143" s="474"/>
      <c r="AG143" s="474"/>
      <c r="AH143" s="474"/>
      <c r="AI143" s="470"/>
      <c r="AJ143" s="474"/>
      <c r="AK143" s="474"/>
      <c r="AL143" s="474"/>
      <c r="AM143" s="474"/>
      <c r="AN143" s="474"/>
      <c r="AO143" s="470"/>
      <c r="AP143" s="474"/>
      <c r="AQ143" s="474"/>
      <c r="AR143" s="474"/>
      <c r="AS143" s="474"/>
      <c r="AT143" s="474"/>
    </row>
    <row r="144" spans="1:46" ht="15" customHeight="1" x14ac:dyDescent="0.2">
      <c r="A144" s="103" t="str">
        <f>IF(Contents!$A$1=2,"Items that may be reclassified to profit or loss:","Статьи, которые могут быть впоследствии реклассифицированы в состав прибылей и убытков:")</f>
        <v>Статьи, которые могут быть впоследствии реклассифицированы в состав прибылей и убытков:</v>
      </c>
      <c r="B144" s="266"/>
      <c r="C144" s="104"/>
      <c r="D144" s="483"/>
      <c r="E144" s="484"/>
      <c r="F144" s="483"/>
      <c r="G144" s="483"/>
      <c r="H144" s="483"/>
      <c r="I144" s="483"/>
      <c r="J144" s="483"/>
      <c r="K144" s="484"/>
      <c r="L144" s="483"/>
      <c r="M144" s="483"/>
      <c r="N144" s="483"/>
      <c r="O144" s="483"/>
      <c r="P144" s="483"/>
      <c r="Q144" s="484"/>
      <c r="R144" s="483"/>
      <c r="S144" s="483"/>
      <c r="T144" s="483"/>
      <c r="U144" s="483"/>
      <c r="V144" s="483"/>
      <c r="W144" s="484"/>
      <c r="X144" s="483"/>
      <c r="Y144" s="483"/>
      <c r="Z144" s="483"/>
      <c r="AA144" s="483"/>
      <c r="AB144" s="483"/>
      <c r="AC144" s="484"/>
      <c r="AD144" s="483"/>
      <c r="AE144" s="483"/>
      <c r="AF144" s="483"/>
      <c r="AG144" s="483"/>
      <c r="AH144" s="483"/>
      <c r="AI144" s="484"/>
      <c r="AJ144" s="483"/>
      <c r="AK144" s="483"/>
      <c r="AL144" s="483"/>
      <c r="AM144" s="483"/>
      <c r="AN144" s="483"/>
      <c r="AO144" s="484"/>
      <c r="AP144" s="483"/>
      <c r="AQ144" s="483"/>
      <c r="AR144" s="483"/>
      <c r="AS144" s="483"/>
      <c r="AT144" s="483"/>
    </row>
    <row r="145" spans="1:46" ht="15" customHeight="1" x14ac:dyDescent="0.2">
      <c r="A145" s="101" t="str">
        <f>IF(Contents!$A$1=2,"Foreign currency translation differences for foreign operations","Курсовые разницы от пересчета иностранных операций")</f>
        <v>Курсовые разницы от пересчета иностранных операций</v>
      </c>
      <c r="B145" s="265" t="str">
        <f>IF(Contents!$A$1=2,"mln RUB","млн руб.")</f>
        <v>млн руб.</v>
      </c>
      <c r="C145" s="105"/>
      <c r="D145" s="454">
        <v>92770</v>
      </c>
      <c r="E145" s="455"/>
      <c r="F145" s="454">
        <v>-27596</v>
      </c>
      <c r="G145" s="454">
        <v>-8045</v>
      </c>
      <c r="H145" s="454">
        <v>26574</v>
      </c>
      <c r="I145" s="454">
        <v>21412</v>
      </c>
      <c r="J145" s="454">
        <v>12345</v>
      </c>
      <c r="K145" s="455"/>
      <c r="L145" s="454">
        <v>-15391</v>
      </c>
      <c r="M145" s="454">
        <v>-21923</v>
      </c>
      <c r="N145" s="454">
        <v>-1715</v>
      </c>
      <c r="O145" s="454">
        <v>-35146</v>
      </c>
      <c r="P145" s="454">
        <v>-74175</v>
      </c>
      <c r="Q145" s="455"/>
      <c r="R145" s="454">
        <v>-17702</v>
      </c>
      <c r="S145" s="454">
        <v>32045</v>
      </c>
      <c r="T145" s="454">
        <v>3103</v>
      </c>
      <c r="U145" s="454">
        <v>-14820</v>
      </c>
      <c r="V145" s="454">
        <v>2626</v>
      </c>
      <c r="W145" s="455"/>
      <c r="X145" s="454">
        <v>3694</v>
      </c>
      <c r="Y145" s="454">
        <v>57972</v>
      </c>
      <c r="Z145" s="454">
        <v>37161</v>
      </c>
      <c r="AA145" s="454">
        <v>73210</v>
      </c>
      <c r="AB145" s="454">
        <v>172037</v>
      </c>
      <c r="AC145" s="455"/>
      <c r="AD145" s="454">
        <v>-101721</v>
      </c>
      <c r="AE145" s="454">
        <v>-30734</v>
      </c>
      <c r="AF145" s="454">
        <v>15740</v>
      </c>
      <c r="AG145" s="454">
        <v>-47402</v>
      </c>
      <c r="AH145" s="454">
        <v>-164117</v>
      </c>
      <c r="AI145" s="455"/>
      <c r="AJ145" s="454">
        <v>315622</v>
      </c>
      <c r="AK145" s="454">
        <v>-152283</v>
      </c>
      <c r="AL145" s="454">
        <v>206310</v>
      </c>
      <c r="AM145" s="454">
        <v>-100942</v>
      </c>
      <c r="AN145" s="454">
        <v>268707</v>
      </c>
      <c r="AO145" s="455"/>
      <c r="AP145" s="454">
        <v>21156</v>
      </c>
      <c r="AQ145" s="454">
        <v>-64210</v>
      </c>
      <c r="AR145" s="454">
        <v>248</v>
      </c>
      <c r="AS145" s="454">
        <v>22556</v>
      </c>
      <c r="AT145" s="454">
        <v>-20250</v>
      </c>
    </row>
    <row r="146" spans="1:46" ht="15" customHeight="1" x14ac:dyDescent="0.2">
      <c r="A146" s="103" t="str">
        <f>IF(Contents!$A$1=2,"Items that will never be reclassified to profit or loss:","Статьи, не подлежащие впоследствии реклассификации в состав прибылей и убытков:")</f>
        <v>Статьи, не подлежащие впоследствии реклассификации в состав прибылей и убытков:</v>
      </c>
      <c r="B146" s="266"/>
      <c r="C146" s="104"/>
      <c r="D146" s="483"/>
      <c r="E146" s="484"/>
      <c r="F146" s="483"/>
      <c r="G146" s="483"/>
      <c r="H146" s="483"/>
      <c r="I146" s="483"/>
      <c r="J146" s="483"/>
      <c r="K146" s="484"/>
      <c r="L146" s="483"/>
      <c r="M146" s="483"/>
      <c r="N146" s="483"/>
      <c r="O146" s="483"/>
      <c r="P146" s="483"/>
      <c r="Q146" s="484"/>
      <c r="R146" s="483"/>
      <c r="S146" s="483"/>
      <c r="T146" s="483"/>
      <c r="U146" s="483"/>
      <c r="V146" s="483"/>
      <c r="W146" s="484"/>
      <c r="X146" s="483"/>
      <c r="Y146" s="483"/>
      <c r="Z146" s="483"/>
      <c r="AA146" s="483"/>
      <c r="AB146" s="483"/>
      <c r="AC146" s="484"/>
      <c r="AD146" s="483"/>
      <c r="AE146" s="483"/>
      <c r="AF146" s="483"/>
      <c r="AG146" s="483"/>
      <c r="AH146" s="483"/>
      <c r="AI146" s="484"/>
      <c r="AJ146" s="483"/>
      <c r="AK146" s="483"/>
      <c r="AL146" s="483"/>
      <c r="AM146" s="483"/>
      <c r="AN146" s="483"/>
      <c r="AO146" s="484"/>
      <c r="AP146" s="483"/>
      <c r="AQ146" s="483"/>
      <c r="AR146" s="483"/>
      <c r="AS146" s="483"/>
      <c r="AT146" s="483"/>
    </row>
    <row r="147" spans="1:46" s="222" customFormat="1" ht="15" customHeight="1" x14ac:dyDescent="0.2">
      <c r="A147" s="341" t="str">
        <f>IF(Contents!$A$1=2,"Change in fair value of equity investments at fair value through other comprehensive income","Изменение справедливой стоимости инвестиций в долевые инструменты, отражаемое в составе прочего совокупного дохода")</f>
        <v>Изменение справедливой стоимости инвестиций в долевые инструменты, отражаемое в составе прочего совокупного дохода</v>
      </c>
      <c r="B147" s="343" t="str">
        <f>IF(Contents!$A$1=2,"mln RUB","млн руб.")</f>
        <v>млн руб.</v>
      </c>
      <c r="C147" s="105"/>
      <c r="D147" s="455"/>
      <c r="E147" s="455"/>
      <c r="F147" s="455"/>
      <c r="G147" s="455"/>
      <c r="H147" s="455"/>
      <c r="I147" s="455"/>
      <c r="J147" s="455"/>
      <c r="K147" s="455"/>
      <c r="L147" s="455"/>
      <c r="M147" s="455"/>
      <c r="N147" s="455"/>
      <c r="O147" s="455"/>
      <c r="P147" s="455"/>
      <c r="Q147" s="455"/>
      <c r="R147" s="455">
        <v>-1275</v>
      </c>
      <c r="S147" s="455">
        <v>-1715</v>
      </c>
      <c r="T147" s="455">
        <v>613</v>
      </c>
      <c r="U147" s="455">
        <v>197</v>
      </c>
      <c r="V147" s="455">
        <v>-2180</v>
      </c>
      <c r="W147" s="455"/>
      <c r="X147" s="455">
        <v>-233</v>
      </c>
      <c r="Y147" s="455">
        <v>1152</v>
      </c>
      <c r="Z147" s="455">
        <v>-1229</v>
      </c>
      <c r="AA147" s="455">
        <v>-2083</v>
      </c>
      <c r="AB147" s="455">
        <v>-2393</v>
      </c>
      <c r="AC147" s="455"/>
      <c r="AD147" s="455">
        <v>1178</v>
      </c>
      <c r="AE147" s="455">
        <v>-486</v>
      </c>
      <c r="AF147" s="455">
        <v>-876</v>
      </c>
      <c r="AG147" s="455">
        <v>-164</v>
      </c>
      <c r="AH147" s="455">
        <v>-348</v>
      </c>
      <c r="AI147" s="455"/>
      <c r="AJ147" s="455">
        <v>-2162</v>
      </c>
      <c r="AK147" s="455">
        <v>735</v>
      </c>
      <c r="AL147" s="455">
        <v>-4</v>
      </c>
      <c r="AM147" s="455">
        <v>664</v>
      </c>
      <c r="AN147" s="455">
        <v>-767</v>
      </c>
      <c r="AO147" s="455"/>
      <c r="AP147" s="455">
        <v>1683</v>
      </c>
      <c r="AQ147" s="455">
        <v>633</v>
      </c>
      <c r="AR147" s="455">
        <v>133</v>
      </c>
      <c r="AS147" s="455">
        <v>123</v>
      </c>
      <c r="AT147" s="455">
        <v>2572</v>
      </c>
    </row>
    <row r="148" spans="1:46" ht="15" customHeight="1" x14ac:dyDescent="0.2">
      <c r="A148" s="101" t="str">
        <f>IF(Contents!$A$1=2,"Remeasurements of defined benefit liability / asset of pension plan","Переоценка чистого обязательства / актива пенсионного плана с установленными выплатами")</f>
        <v>Переоценка чистого обязательства / актива пенсионного плана с установленными выплатами</v>
      </c>
      <c r="B148" s="265" t="str">
        <f>IF(Contents!$A$1=2,"mln RUB","млн руб.")</f>
        <v>млн руб.</v>
      </c>
      <c r="C148" s="105"/>
      <c r="D148" s="454">
        <v>239</v>
      </c>
      <c r="E148" s="455"/>
      <c r="F148" s="454">
        <v>316</v>
      </c>
      <c r="G148" s="454">
        <v>336</v>
      </c>
      <c r="H148" s="454">
        <v>304</v>
      </c>
      <c r="I148" s="454">
        <v>-2606</v>
      </c>
      <c r="J148" s="454">
        <v>-1650</v>
      </c>
      <c r="K148" s="455"/>
      <c r="L148" s="454">
        <v>20</v>
      </c>
      <c r="M148" s="454">
        <v>13</v>
      </c>
      <c r="N148" s="454">
        <v>-9</v>
      </c>
      <c r="O148" s="454">
        <v>-949</v>
      </c>
      <c r="P148" s="454">
        <v>-925</v>
      </c>
      <c r="Q148" s="455"/>
      <c r="R148" s="454">
        <v>25</v>
      </c>
      <c r="S148" s="454">
        <v>-12</v>
      </c>
      <c r="T148" s="454">
        <v>5</v>
      </c>
      <c r="U148" s="454">
        <v>-2343</v>
      </c>
      <c r="V148" s="454">
        <v>-2325</v>
      </c>
      <c r="W148" s="455"/>
      <c r="X148" s="454">
        <v>-10</v>
      </c>
      <c r="Y148" s="454">
        <v>-104</v>
      </c>
      <c r="Z148" s="454">
        <v>-60</v>
      </c>
      <c r="AA148" s="454">
        <v>-22</v>
      </c>
      <c r="AB148" s="454">
        <v>-196</v>
      </c>
      <c r="AC148" s="455"/>
      <c r="AD148" s="454">
        <v>97</v>
      </c>
      <c r="AE148" s="454">
        <v>26</v>
      </c>
      <c r="AF148" s="454">
        <v>-13</v>
      </c>
      <c r="AG148" s="454">
        <v>-2086</v>
      </c>
      <c r="AH148" s="454">
        <v>-1976</v>
      </c>
      <c r="AI148" s="455"/>
      <c r="AJ148" s="454">
        <v>-332</v>
      </c>
      <c r="AK148" s="454">
        <v>160</v>
      </c>
      <c r="AL148" s="454">
        <v>-291</v>
      </c>
      <c r="AM148" s="454">
        <v>-960</v>
      </c>
      <c r="AN148" s="454">
        <v>-1423</v>
      </c>
      <c r="AO148" s="455"/>
      <c r="AP148" s="454">
        <v>12</v>
      </c>
      <c r="AQ148" s="454">
        <v>52</v>
      </c>
      <c r="AR148" s="454">
        <v>2</v>
      </c>
      <c r="AS148" s="454">
        <v>1324</v>
      </c>
      <c r="AT148" s="454">
        <v>1390</v>
      </c>
    </row>
    <row r="149" spans="1:46" s="110" customFormat="1" ht="15" customHeight="1" x14ac:dyDescent="0.2">
      <c r="A149" s="342" t="str">
        <f>IF(Contents!$A$1=2,"Other comprehensive income (loss)","Прочий совокупный доход (расход)")</f>
        <v>Прочий совокупный доход (расход)</v>
      </c>
      <c r="B149" s="256" t="str">
        <f>IF(Contents!$A$1=2,"mln RUB","млн руб.")</f>
        <v>млн руб.</v>
      </c>
      <c r="C149" s="112"/>
      <c r="D149" s="458">
        <v>93009</v>
      </c>
      <c r="E149" s="467"/>
      <c r="F149" s="458">
        <v>-27280</v>
      </c>
      <c r="G149" s="458">
        <v>-7709</v>
      </c>
      <c r="H149" s="458">
        <v>26878</v>
      </c>
      <c r="I149" s="458">
        <v>18806</v>
      </c>
      <c r="J149" s="458">
        <v>10695</v>
      </c>
      <c r="K149" s="467"/>
      <c r="L149" s="458">
        <v>-15371</v>
      </c>
      <c r="M149" s="458">
        <v>-21910</v>
      </c>
      <c r="N149" s="458">
        <v>-1724</v>
      </c>
      <c r="O149" s="458">
        <v>-36095</v>
      </c>
      <c r="P149" s="458">
        <v>-75100</v>
      </c>
      <c r="Q149" s="467"/>
      <c r="R149" s="458">
        <v>-18952</v>
      </c>
      <c r="S149" s="458">
        <v>30318</v>
      </c>
      <c r="T149" s="458">
        <v>3721</v>
      </c>
      <c r="U149" s="458">
        <v>-16966</v>
      </c>
      <c r="V149" s="458">
        <v>-1879</v>
      </c>
      <c r="W149" s="467"/>
      <c r="X149" s="458">
        <v>3451</v>
      </c>
      <c r="Y149" s="458">
        <v>59020</v>
      </c>
      <c r="Z149" s="458">
        <v>35872</v>
      </c>
      <c r="AA149" s="458">
        <v>71105</v>
      </c>
      <c r="AB149" s="458">
        <v>169448</v>
      </c>
      <c r="AC149" s="467"/>
      <c r="AD149" s="458">
        <v>-100446</v>
      </c>
      <c r="AE149" s="458">
        <v>-31194</v>
      </c>
      <c r="AF149" s="458">
        <v>14851</v>
      </c>
      <c r="AG149" s="458">
        <v>-49652</v>
      </c>
      <c r="AH149" s="458">
        <v>-166441</v>
      </c>
      <c r="AI149" s="467"/>
      <c r="AJ149" s="458">
        <v>313128</v>
      </c>
      <c r="AK149" s="458">
        <v>-151388</v>
      </c>
      <c r="AL149" s="458">
        <v>206015</v>
      </c>
      <c r="AM149" s="458">
        <v>-101238</v>
      </c>
      <c r="AN149" s="458">
        <v>266517</v>
      </c>
      <c r="AO149" s="467"/>
      <c r="AP149" s="458">
        <v>22851</v>
      </c>
      <c r="AQ149" s="458">
        <v>-63525</v>
      </c>
      <c r="AR149" s="458">
        <v>383</v>
      </c>
      <c r="AS149" s="458">
        <v>24003</v>
      </c>
      <c r="AT149" s="458">
        <v>-16288</v>
      </c>
    </row>
    <row r="150" spans="1:46" s="110" customFormat="1" ht="15" customHeight="1" x14ac:dyDescent="0.2">
      <c r="A150" s="195" t="str">
        <f>IF(Contents!$A$1=2,"Total comprehensive income for the period","Общий совокупный доход")</f>
        <v>Общий совокупный доход</v>
      </c>
      <c r="B150" s="267" t="str">
        <f>IF(Contents!$A$1=2,"mln RUB","млн руб.")</f>
        <v>млн руб.</v>
      </c>
      <c r="C150" s="112"/>
      <c r="D150" s="485">
        <v>487085</v>
      </c>
      <c r="E150" s="467"/>
      <c r="F150" s="485">
        <v>77159</v>
      </c>
      <c r="G150" s="485">
        <v>56547</v>
      </c>
      <c r="H150" s="485">
        <v>215475</v>
      </c>
      <c r="I150" s="485">
        <v>-45741</v>
      </c>
      <c r="J150" s="485">
        <v>303440</v>
      </c>
      <c r="K150" s="467"/>
      <c r="L150" s="485">
        <v>27599</v>
      </c>
      <c r="M150" s="485">
        <v>40784</v>
      </c>
      <c r="N150" s="485">
        <v>53379</v>
      </c>
      <c r="O150" s="485">
        <v>10780</v>
      </c>
      <c r="P150" s="485">
        <v>132542</v>
      </c>
      <c r="Q150" s="467"/>
      <c r="R150" s="485">
        <v>43732</v>
      </c>
      <c r="S150" s="485">
        <v>169112</v>
      </c>
      <c r="T150" s="485">
        <v>101506</v>
      </c>
      <c r="U150" s="485">
        <v>104193</v>
      </c>
      <c r="V150" s="485">
        <v>418543</v>
      </c>
      <c r="W150" s="467"/>
      <c r="X150" s="485">
        <v>112876</v>
      </c>
      <c r="Y150" s="485">
        <v>227015</v>
      </c>
      <c r="Z150" s="485">
        <v>220334</v>
      </c>
      <c r="AA150" s="485">
        <v>230325</v>
      </c>
      <c r="AB150" s="485">
        <v>790550</v>
      </c>
      <c r="AC150" s="467"/>
      <c r="AD150" s="485">
        <v>49344</v>
      </c>
      <c r="AE150" s="485">
        <v>150607</v>
      </c>
      <c r="AF150" s="485">
        <v>205738</v>
      </c>
      <c r="AG150" s="485">
        <v>70091</v>
      </c>
      <c r="AH150" s="485">
        <v>475780</v>
      </c>
      <c r="AI150" s="467"/>
      <c r="AJ150" s="485">
        <v>267344</v>
      </c>
      <c r="AK150" s="485">
        <v>-169845</v>
      </c>
      <c r="AL150" s="485">
        <v>256927</v>
      </c>
      <c r="AM150" s="485">
        <v>-71276</v>
      </c>
      <c r="AN150" s="485">
        <v>283150</v>
      </c>
      <c r="AO150" s="467"/>
      <c r="AP150" s="485">
        <v>180818</v>
      </c>
      <c r="AQ150" s="485">
        <v>126871</v>
      </c>
      <c r="AR150" s="485">
        <v>193502</v>
      </c>
      <c r="AS150" s="485">
        <v>258034</v>
      </c>
      <c r="AT150" s="485">
        <v>759225</v>
      </c>
    </row>
    <row r="151" spans="1:46" ht="15" customHeight="1" x14ac:dyDescent="0.2">
      <c r="A151" s="100" t="str">
        <f>IF(Contents!$A$1=2,"Non-controlling interests","Общий совокупный доход, относящийся к неконтролирующим долям")</f>
        <v>Общий совокупный доход, относящийся к неконтролирующим долям</v>
      </c>
      <c r="B151" s="250" t="str">
        <f>IF(Contents!$A$1=2,"mln RUB","млн руб.")</f>
        <v>млн руб.</v>
      </c>
      <c r="C151" s="79"/>
      <c r="D151" s="474">
        <v>1434</v>
      </c>
      <c r="E151" s="470"/>
      <c r="F151" s="474">
        <v>-456</v>
      </c>
      <c r="G151" s="474">
        <v>-511</v>
      </c>
      <c r="H151" s="474">
        <v>-189</v>
      </c>
      <c r="I151" s="474">
        <v>-453</v>
      </c>
      <c r="J151" s="474">
        <v>-1609</v>
      </c>
      <c r="K151" s="470"/>
      <c r="L151" s="474">
        <v>-179</v>
      </c>
      <c r="M151" s="474">
        <v>-119</v>
      </c>
      <c r="N151" s="474">
        <v>-311</v>
      </c>
      <c r="O151" s="474">
        <v>-262</v>
      </c>
      <c r="P151" s="474">
        <v>-871</v>
      </c>
      <c r="Q151" s="470"/>
      <c r="R151" s="474">
        <v>-380</v>
      </c>
      <c r="S151" s="474">
        <v>-166</v>
      </c>
      <c r="T151" s="474">
        <v>-451</v>
      </c>
      <c r="U151" s="474">
        <v>-653</v>
      </c>
      <c r="V151" s="474">
        <v>-1650</v>
      </c>
      <c r="W151" s="470"/>
      <c r="X151" s="474">
        <v>-373</v>
      </c>
      <c r="Y151" s="474">
        <v>-665</v>
      </c>
      <c r="Z151" s="474">
        <v>-691</v>
      </c>
      <c r="AA151" s="474">
        <v>-183</v>
      </c>
      <c r="AB151" s="474">
        <v>-1912</v>
      </c>
      <c r="AC151" s="470"/>
      <c r="AD151" s="474">
        <v>-545</v>
      </c>
      <c r="AE151" s="474">
        <v>-557</v>
      </c>
      <c r="AF151" s="474">
        <v>-485</v>
      </c>
      <c r="AG151" s="474">
        <v>-428</v>
      </c>
      <c r="AH151" s="474">
        <v>-2015</v>
      </c>
      <c r="AI151" s="470"/>
      <c r="AJ151" s="474">
        <v>-169</v>
      </c>
      <c r="AK151" s="474">
        <v>-266</v>
      </c>
      <c r="AL151" s="474">
        <v>-507</v>
      </c>
      <c r="AM151" s="474">
        <v>-533</v>
      </c>
      <c r="AN151" s="474">
        <v>-1475</v>
      </c>
      <c r="AO151" s="470"/>
      <c r="AP151" s="474">
        <v>-531</v>
      </c>
      <c r="AQ151" s="474">
        <v>-650</v>
      </c>
      <c r="AR151" s="474">
        <v>-646</v>
      </c>
      <c r="AS151" s="474">
        <v>-246</v>
      </c>
      <c r="AT151" s="474">
        <v>-2073</v>
      </c>
    </row>
    <row r="152" spans="1:46" ht="15" customHeight="1" x14ac:dyDescent="0.2">
      <c r="A152" s="114" t="str">
        <f>IF(Contents!$A$1=2,"PJSC LUKOIL shareholders","Общий совокупный доход, относящийся к акционерам ПАО «ЛУКОЙЛ»")</f>
        <v>Общий совокупный доход, относящийся к акционерам ПАО «ЛУКОЙЛ»</v>
      </c>
      <c r="B152" s="254" t="str">
        <f>IF(Contents!$A$1=2,"mln RUB","млн руб.")</f>
        <v>млн руб.</v>
      </c>
      <c r="C152" s="79"/>
      <c r="D152" s="459">
        <v>488519</v>
      </c>
      <c r="E152" s="467"/>
      <c r="F152" s="459">
        <v>76703</v>
      </c>
      <c r="G152" s="459">
        <v>56036</v>
      </c>
      <c r="H152" s="459">
        <v>215286</v>
      </c>
      <c r="I152" s="459">
        <v>-46194</v>
      </c>
      <c r="J152" s="459">
        <v>301831</v>
      </c>
      <c r="K152" s="467"/>
      <c r="L152" s="459">
        <v>27420</v>
      </c>
      <c r="M152" s="459">
        <v>40665</v>
      </c>
      <c r="N152" s="459">
        <v>53068</v>
      </c>
      <c r="O152" s="459">
        <v>10518</v>
      </c>
      <c r="P152" s="459">
        <v>131671</v>
      </c>
      <c r="Q152" s="467"/>
      <c r="R152" s="459">
        <v>43352</v>
      </c>
      <c r="S152" s="459">
        <v>168946</v>
      </c>
      <c r="T152" s="459">
        <v>101055</v>
      </c>
      <c r="U152" s="459">
        <v>103540</v>
      </c>
      <c r="V152" s="459">
        <v>416893</v>
      </c>
      <c r="W152" s="467"/>
      <c r="X152" s="459">
        <v>112503</v>
      </c>
      <c r="Y152" s="459">
        <v>226350</v>
      </c>
      <c r="Z152" s="459">
        <v>219643</v>
      </c>
      <c r="AA152" s="459">
        <v>230142</v>
      </c>
      <c r="AB152" s="459">
        <v>788638</v>
      </c>
      <c r="AC152" s="467"/>
      <c r="AD152" s="459">
        <v>48799</v>
      </c>
      <c r="AE152" s="459">
        <v>150050</v>
      </c>
      <c r="AF152" s="459">
        <v>205253</v>
      </c>
      <c r="AG152" s="459">
        <v>69663</v>
      </c>
      <c r="AH152" s="459">
        <v>473765</v>
      </c>
      <c r="AI152" s="467"/>
      <c r="AJ152" s="459">
        <v>267175</v>
      </c>
      <c r="AK152" s="459">
        <v>-170111</v>
      </c>
      <c r="AL152" s="459">
        <v>256420</v>
      </c>
      <c r="AM152" s="459">
        <v>-71809</v>
      </c>
      <c r="AN152" s="459">
        <v>281675</v>
      </c>
      <c r="AO152" s="467"/>
      <c r="AP152" s="459">
        <v>180287</v>
      </c>
      <c r="AQ152" s="459">
        <v>126221</v>
      </c>
      <c r="AR152" s="459">
        <v>192856</v>
      </c>
      <c r="AS152" s="459">
        <v>257788</v>
      </c>
      <c r="AT152" s="459">
        <v>757152</v>
      </c>
    </row>
    <row r="153" spans="1:46" ht="15" customHeight="1" x14ac:dyDescent="0.2">
      <c r="A153" s="115" t="str">
        <f>IF(Contents!$A$1=2,"Earnings per share","Прибыль на акцию")</f>
        <v>Прибыль на акцию</v>
      </c>
      <c r="B153" s="250"/>
      <c r="C153" s="79"/>
      <c r="D153" s="474"/>
      <c r="E153" s="470"/>
      <c r="F153" s="474"/>
      <c r="G153" s="474"/>
      <c r="H153" s="474"/>
      <c r="I153" s="474"/>
      <c r="J153" s="474"/>
      <c r="K153" s="470"/>
      <c r="L153" s="474"/>
      <c r="M153" s="474"/>
      <c r="N153" s="474"/>
      <c r="O153" s="474"/>
      <c r="P153" s="474"/>
      <c r="Q153" s="470"/>
      <c r="R153" s="474"/>
      <c r="S153" s="474"/>
      <c r="T153" s="474"/>
      <c r="U153" s="474"/>
      <c r="V153" s="474"/>
      <c r="W153" s="470"/>
      <c r="X153" s="474"/>
      <c r="Y153" s="474"/>
      <c r="Z153" s="474"/>
      <c r="AA153" s="474"/>
      <c r="AB153" s="474"/>
      <c r="AC153" s="470"/>
      <c r="AD153" s="474"/>
      <c r="AE153" s="474"/>
      <c r="AF153" s="474"/>
      <c r="AG153" s="474"/>
      <c r="AH153" s="474"/>
      <c r="AI153" s="470"/>
      <c r="AJ153" s="474"/>
      <c r="AK153" s="474"/>
      <c r="AL153" s="474"/>
      <c r="AM153" s="474"/>
      <c r="AN153" s="474"/>
      <c r="AO153" s="470"/>
      <c r="AP153" s="474"/>
      <c r="AQ153" s="474"/>
      <c r="AR153" s="474"/>
      <c r="AS153" s="474"/>
      <c r="AT153" s="474"/>
    </row>
    <row r="154" spans="1:46" ht="25.5" x14ac:dyDescent="0.2">
      <c r="A154" s="413" t="str">
        <f>IF(Contents!$A$1=2,"Profit (loss) for the period attributable to PJSC LUKOIL shareholders per share of common stock (in Russian rubles)::","Прибыль (убыток) за период, относящиеся к акционерам ПАО «ЛУКОЙЛ», на одну обыкновенную акцию (в российских рублях)::")</f>
        <v>Прибыль (убыток) за период, относящиеся к акционерам ПАО «ЛУКОЙЛ», на одну обыкновенную акцию (в российских рублях)::</v>
      </c>
      <c r="B154" s="268"/>
      <c r="C154" s="106"/>
      <c r="D154" s="474"/>
      <c r="E154" s="470"/>
      <c r="F154" s="474"/>
      <c r="G154" s="474"/>
      <c r="H154" s="474"/>
      <c r="I154" s="474"/>
      <c r="J154" s="474"/>
      <c r="K154" s="470"/>
      <c r="L154" s="474"/>
      <c r="M154" s="474"/>
      <c r="N154" s="474"/>
      <c r="O154" s="474"/>
      <c r="P154" s="474"/>
      <c r="Q154" s="470"/>
      <c r="R154" s="474"/>
      <c r="S154" s="474"/>
      <c r="T154" s="474"/>
      <c r="U154" s="474"/>
      <c r="V154" s="474"/>
      <c r="W154" s="470"/>
      <c r="X154" s="474"/>
      <c r="Y154" s="474"/>
      <c r="Z154" s="474"/>
      <c r="AA154" s="474"/>
      <c r="AB154" s="474"/>
      <c r="AC154" s="470"/>
      <c r="AD154" s="474"/>
      <c r="AE154" s="474"/>
      <c r="AF154" s="474"/>
      <c r="AG154" s="474"/>
      <c r="AH154" s="474"/>
      <c r="AI154" s="470"/>
      <c r="AJ154" s="474"/>
      <c r="AK154" s="474"/>
      <c r="AL154" s="474"/>
      <c r="AM154" s="474"/>
      <c r="AN154" s="474"/>
      <c r="AO154" s="470"/>
      <c r="AP154" s="474"/>
      <c r="AQ154" s="474"/>
      <c r="AR154" s="474"/>
      <c r="AS154" s="474"/>
      <c r="AT154" s="474"/>
    </row>
    <row r="155" spans="1:46" ht="15" customHeight="1" x14ac:dyDescent="0.2">
      <c r="A155" s="94" t="str">
        <f>IF(Contents!$A$1=2,"Basic","базовая прибыль")</f>
        <v>базовая прибыль</v>
      </c>
      <c r="B155" s="250" t="str">
        <f>IF(Contents!$A$1=2,"RUB","руб.")</f>
        <v>руб.</v>
      </c>
      <c r="C155" s="82"/>
      <c r="D155" s="474">
        <v>554.79</v>
      </c>
      <c r="E155" s="470"/>
      <c r="F155" s="474">
        <v>145.91999999999999</v>
      </c>
      <c r="G155" s="474">
        <v>89.42</v>
      </c>
      <c r="H155" s="474">
        <v>264.25</v>
      </c>
      <c r="I155" s="474">
        <v>-91.22</v>
      </c>
      <c r="J155" s="474">
        <v>408.36</v>
      </c>
      <c r="K155" s="470"/>
      <c r="L155" s="474">
        <v>60.07</v>
      </c>
      <c r="M155" s="474">
        <v>87.76</v>
      </c>
      <c r="N155" s="474">
        <v>76.87</v>
      </c>
      <c r="O155" s="474">
        <v>65.36</v>
      </c>
      <c r="P155" s="474">
        <v>290.06</v>
      </c>
      <c r="Q155" s="470"/>
      <c r="R155" s="474">
        <v>87.39</v>
      </c>
      <c r="S155" s="474">
        <v>194.91</v>
      </c>
      <c r="T155" s="474">
        <v>137.16999999999999</v>
      </c>
      <c r="U155" s="470">
        <v>169.82</v>
      </c>
      <c r="V155" s="474">
        <v>589.14</v>
      </c>
      <c r="W155" s="470"/>
      <c r="X155" s="474">
        <v>153.68</v>
      </c>
      <c r="Y155" s="474">
        <v>235.79</v>
      </c>
      <c r="Z155" s="474">
        <v>259.02</v>
      </c>
      <c r="AA155" s="470">
        <v>226.03</v>
      </c>
      <c r="AB155" s="474">
        <v>874.47</v>
      </c>
      <c r="AC155" s="470"/>
      <c r="AD155" s="474">
        <v>215.71</v>
      </c>
      <c r="AE155" s="474">
        <v>268.95999999999998</v>
      </c>
      <c r="AF155" s="474">
        <v>294.10000000000002</v>
      </c>
      <c r="AG155" s="474">
        <v>184.71</v>
      </c>
      <c r="AH155" s="474">
        <v>963.28</v>
      </c>
      <c r="AI155" s="470"/>
      <c r="AJ155" s="474">
        <v>-71.11</v>
      </c>
      <c r="AK155" s="474">
        <v>-28.69</v>
      </c>
      <c r="AL155" s="474">
        <v>77.27</v>
      </c>
      <c r="AM155" s="474">
        <v>45.11</v>
      </c>
      <c r="AN155" s="474">
        <v>23.31</v>
      </c>
      <c r="AO155" s="470"/>
      <c r="AP155" s="474">
        <v>241.27</v>
      </c>
      <c r="AQ155" s="474">
        <v>290.81</v>
      </c>
      <c r="AR155" s="474">
        <v>294.98</v>
      </c>
      <c r="AS155" s="474">
        <v>358.59</v>
      </c>
      <c r="AT155" s="474">
        <v>1185.5999999999999</v>
      </c>
    </row>
    <row r="156" spans="1:46" ht="15" customHeight="1" thickBot="1" x14ac:dyDescent="0.25">
      <c r="A156" s="107" t="str">
        <f>IF(Contents!$A$1=2,"Diluted","разводненная прибыль")</f>
        <v>разводненная прибыль</v>
      </c>
      <c r="B156" s="269" t="str">
        <f>IF(Contents!$A$1=2,"RUB","руб.")</f>
        <v>руб.</v>
      </c>
      <c r="C156" s="82"/>
      <c r="D156" s="486">
        <v>541.9</v>
      </c>
      <c r="E156" s="487"/>
      <c r="F156" s="486">
        <v>143.02000000000001</v>
      </c>
      <c r="G156" s="486">
        <v>88.13</v>
      </c>
      <c r="H156" s="486">
        <v>264.25</v>
      </c>
      <c r="I156" s="486">
        <v>-91.22</v>
      </c>
      <c r="J156" s="486">
        <v>405.15</v>
      </c>
      <c r="K156" s="470"/>
      <c r="L156" s="486">
        <v>60.07</v>
      </c>
      <c r="M156" s="486">
        <v>87.76</v>
      </c>
      <c r="N156" s="486">
        <v>76.87</v>
      </c>
      <c r="O156" s="486">
        <v>65.36</v>
      </c>
      <c r="P156" s="486">
        <v>290.06</v>
      </c>
      <c r="Q156" s="470"/>
      <c r="R156" s="486">
        <v>87.39</v>
      </c>
      <c r="S156" s="486">
        <v>194.91</v>
      </c>
      <c r="T156" s="486">
        <v>137.16999999999999</v>
      </c>
      <c r="U156" s="487">
        <v>169.82</v>
      </c>
      <c r="V156" s="486">
        <v>589.14</v>
      </c>
      <c r="W156" s="470"/>
      <c r="X156" s="486">
        <v>153.68</v>
      </c>
      <c r="Y156" s="486">
        <v>235.79</v>
      </c>
      <c r="Z156" s="486">
        <v>255.54</v>
      </c>
      <c r="AA156" s="487">
        <v>221.7</v>
      </c>
      <c r="AB156" s="486">
        <v>865.19</v>
      </c>
      <c r="AC156" s="470"/>
      <c r="AD156" s="486">
        <v>210.35</v>
      </c>
      <c r="AE156" s="486">
        <v>261.3</v>
      </c>
      <c r="AF156" s="486">
        <v>285.01</v>
      </c>
      <c r="AG156" s="486">
        <v>178.22</v>
      </c>
      <c r="AH156" s="486">
        <v>934.73</v>
      </c>
      <c r="AI156" s="470"/>
      <c r="AJ156" s="488">
        <v>-71.11</v>
      </c>
      <c r="AK156" s="488">
        <v>-28.69</v>
      </c>
      <c r="AL156" s="488">
        <v>74.42</v>
      </c>
      <c r="AM156" s="488">
        <v>43.38</v>
      </c>
      <c r="AN156" s="488">
        <v>22.46</v>
      </c>
      <c r="AO156" s="470"/>
      <c r="AP156" s="488">
        <v>230.69</v>
      </c>
      <c r="AQ156" s="488">
        <v>277.31</v>
      </c>
      <c r="AR156" s="488">
        <v>280.63</v>
      </c>
      <c r="AS156" s="488">
        <v>340.38</v>
      </c>
      <c r="AT156" s="488">
        <v>1129.17</v>
      </c>
    </row>
    <row r="158" spans="1:46" ht="15" customHeight="1" x14ac:dyDescent="0.2">
      <c r="A158" s="51" t="str">
        <f>IF(Contents!$A$1=2,"Content","Содержание")</f>
        <v>Содержание</v>
      </c>
      <c r="B158" s="247"/>
    </row>
  </sheetData>
  <conditionalFormatting sqref="E8:Q8 Q155:Q156 K155:K156 C155:C156 C11:Q13 C8 C15:Q16 C18:Q19 C30:Q31 C33:Q34 C36:Q37 C39:Q40 C42:Q43 A15:A16 A18:A19 A30:A31 A33:A34 A36:A37 A39:A40 A42:A43 A8:A13 C53:C62 A63 C68:N68 C9:Q9 A25:A28 A49:A59 W47:W48 U148:W156 C148:T154 A146:AB147 A157:AT1048576 A1:AB7 AD99:AE147 A74:A84 C69:T78 U49:W78 X69:Z78 AA50:AB78 AD50:AE97 AF50:AJ75 B49:B145 A21:B22 R21:AB22 AC21:AC28 AD21:AJ22 R45:Y46 A45:B46 AA45:AB46 AC45:AC156 AD45:AJ46 A148:B156 AU1:XFD9 A89:A145 C21:Q28 C45:Q52 C63:T67 C81:AB81 C79:C80 C84:AB84 C82:C83 C89:AB92 C85:C88 K85:AB88 C94:AB97 C93 K93 Q93 W93 C99:AB104 C98 E98 K98 Q98 W98 C107:AB145 C105:C106 E105:E106 K105:K106 Q105:Q106 W105:W106 AU11:XFD1048576">
    <cfRule type="containsText" dxfId="1535" priority="550" operator="containsText" text="ложь">
      <formula>NOT(ISERROR(SEARCH("ложь",A1)))</formula>
    </cfRule>
  </conditionalFormatting>
  <conditionalFormatting sqref="E10:Q10 C10 AU10:XFD10">
    <cfRule type="containsText" dxfId="1534" priority="549" operator="containsText" text="ложь">
      <formula>NOT(ISERROR(SEARCH("ложь",C10)))</formula>
    </cfRule>
  </conditionalFormatting>
  <conditionalFormatting sqref="D10">
    <cfRule type="containsText" dxfId="1533" priority="548" operator="containsText" text="ложь">
      <formula>NOT(ISERROR(SEARCH("ложь",D10)))</formula>
    </cfRule>
  </conditionalFormatting>
  <conditionalFormatting sqref="R15:W16 R18:W19 R30:W31 R33:W34 R36:W37 R39:W40 R42:W43 R11:W13 R8:W9 R49:T52 R25:W28 W23:W24">
    <cfRule type="containsText" dxfId="1532" priority="545" operator="containsText" text="ложь">
      <formula>NOT(ISERROR(SEARCH("ложь",R8)))</formula>
    </cfRule>
  </conditionalFormatting>
  <conditionalFormatting sqref="R10:W10">
    <cfRule type="containsText" dxfId="1531" priority="544" operator="containsText" text="ложь">
      <formula>NOT(ISERROR(SEARCH("ложь",R10)))</formula>
    </cfRule>
  </conditionalFormatting>
  <conditionalFormatting sqref="R155:T155">
    <cfRule type="containsText" dxfId="1530" priority="543" operator="containsText" text="ложь">
      <formula>NOT(ISERROR(SEARCH("ложь",R155)))</formula>
    </cfRule>
  </conditionalFormatting>
  <conditionalFormatting sqref="R156:T156">
    <cfRule type="containsText" dxfId="1529" priority="541" operator="containsText" text="ложь">
      <formula>NOT(ISERROR(SEARCH("ложь",R156)))</formula>
    </cfRule>
  </conditionalFormatting>
  <conditionalFormatting sqref="L155:P155">
    <cfRule type="containsText" dxfId="1528" priority="540" operator="containsText" text="ложь">
      <formula>NOT(ISERROR(SEARCH("ложь",L155)))</formula>
    </cfRule>
  </conditionalFormatting>
  <conditionalFormatting sqref="L156:P156">
    <cfRule type="containsText" dxfId="1527" priority="539" operator="containsText" text="ложь">
      <formula>NOT(ISERROR(SEARCH("ложь",L156)))</formula>
    </cfRule>
  </conditionalFormatting>
  <conditionalFormatting sqref="D155:J155">
    <cfRule type="containsText" dxfId="1526" priority="538" operator="containsText" text="ложь">
      <formula>NOT(ISERROR(SEARCH("ложь",D155)))</formula>
    </cfRule>
  </conditionalFormatting>
  <conditionalFormatting sqref="D156:J156">
    <cfRule type="containsText" dxfId="1525" priority="537" operator="containsText" text="ложь">
      <formula>NOT(ISERROR(SEARCH("ложь",D156)))</formula>
    </cfRule>
  </conditionalFormatting>
  <conditionalFormatting sqref="B8:B9 B11:B13 B15:B16 B18:B19 B30:B31 B33:B34 B36:B37 B39:B40 B42:B43 B25:B28">
    <cfRule type="containsText" dxfId="1524" priority="529" operator="containsText" text="ложь">
      <formula>NOT(ISERROR(SEARCH("ложь",B8)))</formula>
    </cfRule>
  </conditionalFormatting>
  <conditionalFormatting sqref="B10">
    <cfRule type="containsText" dxfId="1523" priority="528" operator="containsText" text="ложь">
      <formula>NOT(ISERROR(SEARCH("ложь",B10)))</formula>
    </cfRule>
  </conditionalFormatting>
  <conditionalFormatting sqref="C14:Q14 A14">
    <cfRule type="containsText" dxfId="1522" priority="527" operator="containsText" text="ложь">
      <formula>NOT(ISERROR(SEARCH("ложь",A14)))</formula>
    </cfRule>
  </conditionalFormatting>
  <conditionalFormatting sqref="R14:W14">
    <cfRule type="containsText" dxfId="1521" priority="526" operator="containsText" text="ложь">
      <formula>NOT(ISERROR(SEARCH("ложь",R14)))</formula>
    </cfRule>
  </conditionalFormatting>
  <conditionalFormatting sqref="B14">
    <cfRule type="containsText" dxfId="1520" priority="525" operator="containsText" text="ложь">
      <formula>NOT(ISERROR(SEARCH("ложь",B14)))</formula>
    </cfRule>
  </conditionalFormatting>
  <conditionalFormatting sqref="C17:Q17 A17">
    <cfRule type="containsText" dxfId="1519" priority="524" operator="containsText" text="ложь">
      <formula>NOT(ISERROR(SEARCH("ложь",A17)))</formula>
    </cfRule>
  </conditionalFormatting>
  <conditionalFormatting sqref="R17:W17">
    <cfRule type="containsText" dxfId="1518" priority="523" operator="containsText" text="ложь">
      <formula>NOT(ISERROR(SEARCH("ложь",R17)))</formula>
    </cfRule>
  </conditionalFormatting>
  <conditionalFormatting sqref="B17">
    <cfRule type="containsText" dxfId="1517" priority="522" operator="containsText" text="ложь">
      <formula>NOT(ISERROR(SEARCH("ложь",B17)))</formula>
    </cfRule>
  </conditionalFormatting>
  <conditionalFormatting sqref="C20:Q20 A20">
    <cfRule type="containsText" dxfId="1516" priority="521" operator="containsText" text="ложь">
      <formula>NOT(ISERROR(SEARCH("ложь",A20)))</formula>
    </cfRule>
  </conditionalFormatting>
  <conditionalFormatting sqref="R20:W20">
    <cfRule type="containsText" dxfId="1515" priority="520" operator="containsText" text="ложь">
      <formula>NOT(ISERROR(SEARCH("ложь",R20)))</formula>
    </cfRule>
  </conditionalFormatting>
  <conditionalFormatting sqref="B20">
    <cfRule type="containsText" dxfId="1514" priority="519" operator="containsText" text="ложь">
      <formula>NOT(ISERROR(SEARCH("ложь",B20)))</formula>
    </cfRule>
  </conditionalFormatting>
  <conditionalFormatting sqref="C29:Q29 A29">
    <cfRule type="containsText" dxfId="1513" priority="518" operator="containsText" text="ложь">
      <formula>NOT(ISERROR(SEARCH("ложь",A29)))</formula>
    </cfRule>
  </conditionalFormatting>
  <conditionalFormatting sqref="R29:W29">
    <cfRule type="containsText" dxfId="1512" priority="517" operator="containsText" text="ложь">
      <formula>NOT(ISERROR(SEARCH("ложь",R29)))</formula>
    </cfRule>
  </conditionalFormatting>
  <conditionalFormatting sqref="B29">
    <cfRule type="containsText" dxfId="1511" priority="516" operator="containsText" text="ложь">
      <formula>NOT(ISERROR(SEARCH("ложь",B29)))</formula>
    </cfRule>
  </conditionalFormatting>
  <conditionalFormatting sqref="C32:Q32 A32">
    <cfRule type="containsText" dxfId="1510" priority="515" operator="containsText" text="ложь">
      <formula>NOT(ISERROR(SEARCH("ложь",A32)))</formula>
    </cfRule>
  </conditionalFormatting>
  <conditionalFormatting sqref="R32:W32">
    <cfRule type="containsText" dxfId="1509" priority="514" operator="containsText" text="ложь">
      <formula>NOT(ISERROR(SEARCH("ложь",R32)))</formula>
    </cfRule>
  </conditionalFormatting>
  <conditionalFormatting sqref="B32">
    <cfRule type="containsText" dxfId="1508" priority="513" operator="containsText" text="ложь">
      <formula>NOT(ISERROR(SEARCH("ложь",B32)))</formula>
    </cfRule>
  </conditionalFormatting>
  <conditionalFormatting sqref="C35:Q35 A35">
    <cfRule type="containsText" dxfId="1507" priority="512" operator="containsText" text="ложь">
      <formula>NOT(ISERROR(SEARCH("ложь",A35)))</formula>
    </cfRule>
  </conditionalFormatting>
  <conditionalFormatting sqref="R35:W35">
    <cfRule type="containsText" dxfId="1506" priority="511" operator="containsText" text="ложь">
      <formula>NOT(ISERROR(SEARCH("ложь",R35)))</formula>
    </cfRule>
  </conditionalFormatting>
  <conditionalFormatting sqref="B35">
    <cfRule type="containsText" dxfId="1505" priority="510" operator="containsText" text="ложь">
      <formula>NOT(ISERROR(SEARCH("ложь",B35)))</formula>
    </cfRule>
  </conditionalFormatting>
  <conditionalFormatting sqref="C38:Q38 A38">
    <cfRule type="containsText" dxfId="1504" priority="509" operator="containsText" text="ложь">
      <formula>NOT(ISERROR(SEARCH("ложь",A38)))</formula>
    </cfRule>
  </conditionalFormatting>
  <conditionalFormatting sqref="R38:W38">
    <cfRule type="containsText" dxfId="1503" priority="508" operator="containsText" text="ложь">
      <formula>NOT(ISERROR(SEARCH("ложь",R38)))</formula>
    </cfRule>
  </conditionalFormatting>
  <conditionalFormatting sqref="B38">
    <cfRule type="containsText" dxfId="1502" priority="507" operator="containsText" text="ложь">
      <formula>NOT(ISERROR(SEARCH("ложь",B38)))</formula>
    </cfRule>
  </conditionalFormatting>
  <conditionalFormatting sqref="C41:Q41 A41">
    <cfRule type="containsText" dxfId="1501" priority="506" operator="containsText" text="ложь">
      <formula>NOT(ISERROR(SEARCH("ложь",A41)))</formula>
    </cfRule>
  </conditionalFormatting>
  <conditionalFormatting sqref="R41:W41">
    <cfRule type="containsText" dxfId="1500" priority="505" operator="containsText" text="ложь">
      <formula>NOT(ISERROR(SEARCH("ложь",R41)))</formula>
    </cfRule>
  </conditionalFormatting>
  <conditionalFormatting sqref="B41">
    <cfRule type="containsText" dxfId="1499" priority="504" operator="containsText" text="ложь">
      <formula>NOT(ISERROR(SEARCH("ложь",B41)))</formula>
    </cfRule>
  </conditionalFormatting>
  <conditionalFormatting sqref="C44:Q44 A44">
    <cfRule type="containsText" dxfId="1498" priority="503" operator="containsText" text="ложь">
      <formula>NOT(ISERROR(SEARCH("ложь",A44)))</formula>
    </cfRule>
  </conditionalFormatting>
  <conditionalFormatting sqref="R44:W44">
    <cfRule type="containsText" dxfId="1497" priority="502" operator="containsText" text="ложь">
      <formula>NOT(ISERROR(SEARCH("ложь",R44)))</formula>
    </cfRule>
  </conditionalFormatting>
  <conditionalFormatting sqref="B44">
    <cfRule type="containsText" dxfId="1496" priority="501" operator="containsText" text="ложь">
      <formula>NOT(ISERROR(SEARCH("ложь",B44)))</formula>
    </cfRule>
  </conditionalFormatting>
  <conditionalFormatting sqref="D53:T62">
    <cfRule type="containsText" dxfId="1495" priority="500" operator="containsText" text="ложь">
      <formula>NOT(ISERROR(SEARCH("ложь",D53)))</formula>
    </cfRule>
  </conditionalFormatting>
  <conditionalFormatting sqref="A60:A62">
    <cfRule type="containsText" dxfId="1494" priority="498" operator="containsText" text="ложь">
      <formula>NOT(ISERROR(SEARCH("ложь",A60)))</formula>
    </cfRule>
  </conditionalFormatting>
  <conditionalFormatting sqref="A68">
    <cfRule type="containsText" dxfId="1493" priority="495" operator="containsText" text="ложь">
      <formula>NOT(ISERROR(SEARCH("ложь",A68)))</formula>
    </cfRule>
  </conditionalFormatting>
  <conditionalFormatting sqref="A64">
    <cfRule type="containsText" dxfId="1492" priority="496" operator="containsText" text="ложь">
      <formula>NOT(ISERROR(SEARCH("ложь",A64)))</formula>
    </cfRule>
  </conditionalFormatting>
  <conditionalFormatting sqref="A71:A73">
    <cfRule type="containsText" dxfId="1491" priority="492" operator="containsText" text="ложь">
      <formula>NOT(ISERROR(SEARCH("ложь",A71)))</formula>
    </cfRule>
  </conditionalFormatting>
  <conditionalFormatting sqref="A65:A67">
    <cfRule type="containsText" dxfId="1490" priority="494" operator="containsText" text="ложь">
      <formula>NOT(ISERROR(SEARCH("ложь",A65)))</formula>
    </cfRule>
  </conditionalFormatting>
  <conditionalFormatting sqref="A69:A70">
    <cfRule type="containsText" dxfId="1489" priority="493" operator="containsText" text="ложь">
      <formula>NOT(ISERROR(SEARCH("ложь",A69)))</formula>
    </cfRule>
  </conditionalFormatting>
  <conditionalFormatting sqref="O68:T68">
    <cfRule type="containsText" dxfId="1488" priority="491" operator="containsText" text="ложь">
      <formula>NOT(ISERROR(SEARCH("ложь",O68)))</formula>
    </cfRule>
  </conditionalFormatting>
  <conditionalFormatting sqref="A85:A88">
    <cfRule type="containsText" dxfId="1487" priority="489" operator="containsText" text="ложь">
      <formula>NOT(ISERROR(SEARCH("ложь",A85)))</formula>
    </cfRule>
  </conditionalFormatting>
  <conditionalFormatting sqref="X63:X67 Z63:Z67 Z148:Z154 AA148:AB156 X148:X154">
    <cfRule type="containsText" dxfId="1486" priority="487" operator="containsText" text="ложь">
      <formula>NOT(ISERROR(SEARCH("ложь",X63)))</formula>
    </cfRule>
  </conditionalFormatting>
  <conditionalFormatting sqref="X15:X16 X18:X19 X30:X31 X33:X34 X36:X37 X39:X40 X42:X43 X11:X13 X8 X28 X49:X52 X24:X26 Z8:AB9 Z11:AB13 Z45 Z42:AB43 Z39:AB40 Z36:AB37 Z33:AB34 Z30:AB31 Z18:AB19 Z15:AB16 Z27:AB28 AA25:AB26 Z51:Z52">
    <cfRule type="containsText" dxfId="1485" priority="486" operator="containsText" text="ложь">
      <formula>NOT(ISERROR(SEARCH("ложь",X8)))</formula>
    </cfRule>
  </conditionalFormatting>
  <conditionalFormatting sqref="X10 Z10:AB10">
    <cfRule type="containsText" dxfId="1484" priority="485" operator="containsText" text="ложь">
      <formula>NOT(ISERROR(SEARCH("ложь",X10)))</formula>
    </cfRule>
  </conditionalFormatting>
  <conditionalFormatting sqref="X155 Z155">
    <cfRule type="containsText" dxfId="1483" priority="484" operator="containsText" text="ложь">
      <formula>NOT(ISERROR(SEARCH("ложь",X155)))</formula>
    </cfRule>
  </conditionalFormatting>
  <conditionalFormatting sqref="X156 Z156">
    <cfRule type="containsText" dxfId="1482" priority="483" operator="containsText" text="ложь">
      <formula>NOT(ISERROR(SEARCH("ложь",X156)))</formula>
    </cfRule>
  </conditionalFormatting>
  <conditionalFormatting sqref="X14 Z14:AB14">
    <cfRule type="containsText" dxfId="1481" priority="482" operator="containsText" text="ложь">
      <formula>NOT(ISERROR(SEARCH("ложь",X14)))</formula>
    </cfRule>
  </conditionalFormatting>
  <conditionalFormatting sqref="X17 Z17:AB17">
    <cfRule type="containsText" dxfId="1480" priority="481" operator="containsText" text="ложь">
      <formula>NOT(ISERROR(SEARCH("ложь",X17)))</formula>
    </cfRule>
  </conditionalFormatting>
  <conditionalFormatting sqref="X20 Z20:AB20">
    <cfRule type="containsText" dxfId="1479" priority="480" operator="containsText" text="ложь">
      <formula>NOT(ISERROR(SEARCH("ложь",X20)))</formula>
    </cfRule>
  </conditionalFormatting>
  <conditionalFormatting sqref="X29 Z29:AB29">
    <cfRule type="containsText" dxfId="1478" priority="479" operator="containsText" text="ложь">
      <formula>NOT(ISERROR(SEARCH("ложь",X29)))</formula>
    </cfRule>
  </conditionalFormatting>
  <conditionalFormatting sqref="X32 Z32:AB32">
    <cfRule type="containsText" dxfId="1477" priority="478" operator="containsText" text="ложь">
      <formula>NOT(ISERROR(SEARCH("ложь",X32)))</formula>
    </cfRule>
  </conditionalFormatting>
  <conditionalFormatting sqref="X35 Z35:AB35">
    <cfRule type="containsText" dxfId="1476" priority="477" operator="containsText" text="ложь">
      <formula>NOT(ISERROR(SEARCH("ложь",X35)))</formula>
    </cfRule>
  </conditionalFormatting>
  <conditionalFormatting sqref="X38 Z38:AB38">
    <cfRule type="containsText" dxfId="1475" priority="476" operator="containsText" text="ложь">
      <formula>NOT(ISERROR(SEARCH("ложь",X38)))</formula>
    </cfRule>
  </conditionalFormatting>
  <conditionalFormatting sqref="X41 Z41:AB41">
    <cfRule type="containsText" dxfId="1474" priority="475" operator="containsText" text="ложь">
      <formula>NOT(ISERROR(SEARCH("ложь",X41)))</formula>
    </cfRule>
  </conditionalFormatting>
  <conditionalFormatting sqref="X44 Z44:AB44">
    <cfRule type="containsText" dxfId="1473" priority="474" operator="containsText" text="ложь">
      <formula>NOT(ISERROR(SEARCH("ложь",X44)))</formula>
    </cfRule>
  </conditionalFormatting>
  <conditionalFormatting sqref="X53:X62 Z53:Z62">
    <cfRule type="containsText" dxfId="1472" priority="473" operator="containsText" text="ложь">
      <formula>NOT(ISERROR(SEARCH("ложь",X53)))</formula>
    </cfRule>
  </conditionalFormatting>
  <conditionalFormatting sqref="X68 Z68">
    <cfRule type="containsText" dxfId="1471" priority="472" operator="containsText" text="ложь">
      <formula>NOT(ISERROR(SEARCH("ложь",X68)))</formula>
    </cfRule>
  </conditionalFormatting>
  <conditionalFormatting sqref="X27">
    <cfRule type="containsText" dxfId="1470" priority="471" operator="containsText" text="ложь">
      <formula>NOT(ISERROR(SEARCH("ложь",X27)))</formula>
    </cfRule>
  </conditionalFormatting>
  <conditionalFormatting sqref="X9">
    <cfRule type="containsText" dxfId="1469" priority="470" operator="containsText" text="ложь">
      <formula>NOT(ISERROR(SEARCH("ложь",X9)))</formula>
    </cfRule>
  </conditionalFormatting>
  <conditionalFormatting sqref="A24">
    <cfRule type="containsText" dxfId="1468" priority="469" operator="containsText" text="ложь">
      <formula>NOT(ISERROR(SEARCH("ложь",A24)))</formula>
    </cfRule>
  </conditionalFormatting>
  <conditionalFormatting sqref="A23">
    <cfRule type="containsText" dxfId="1467" priority="467" operator="containsText" text="ложь">
      <formula>NOT(ISERROR(SEARCH("ложь",A23)))</formula>
    </cfRule>
  </conditionalFormatting>
  <conditionalFormatting sqref="B23">
    <cfRule type="containsText" dxfId="1466" priority="466" operator="containsText" text="ложь">
      <formula>NOT(ISERROR(SEARCH("ложь",B23)))</formula>
    </cfRule>
  </conditionalFormatting>
  <conditionalFormatting sqref="A48">
    <cfRule type="containsText" dxfId="1465" priority="465" operator="containsText" text="ложь">
      <formula>NOT(ISERROR(SEARCH("ложь",A48)))</formula>
    </cfRule>
  </conditionalFormatting>
  <conditionalFormatting sqref="A47">
    <cfRule type="containsText" dxfId="1464" priority="464" operator="containsText" text="ложь">
      <formula>NOT(ISERROR(SEARCH("ложь",A47)))</formula>
    </cfRule>
  </conditionalFormatting>
  <conditionalFormatting sqref="V47">
    <cfRule type="containsText" dxfId="1463" priority="461" operator="containsText" text="ложь">
      <formula>NOT(ISERROR(SEARCH("ложь",V47)))</formula>
    </cfRule>
  </conditionalFormatting>
  <conditionalFormatting sqref="X47">
    <cfRule type="containsText" dxfId="1462" priority="462" operator="containsText" text="ложь">
      <formula>NOT(ISERROR(SEARCH("ложь",X47)))</formula>
    </cfRule>
  </conditionalFormatting>
  <conditionalFormatting sqref="U47">
    <cfRule type="containsText" dxfId="1461" priority="460" operator="containsText" text="ложь">
      <formula>NOT(ISERROR(SEARCH("ложь",U47)))</formula>
    </cfRule>
  </conditionalFormatting>
  <conditionalFormatting sqref="T47">
    <cfRule type="containsText" dxfId="1460" priority="459" operator="containsText" text="ложь">
      <formula>NOT(ISERROR(SEARCH("ложь",T47)))</formula>
    </cfRule>
  </conditionalFormatting>
  <conditionalFormatting sqref="S47">
    <cfRule type="containsText" dxfId="1459" priority="458" operator="containsText" text="ложь">
      <formula>NOT(ISERROR(SEARCH("ложь",S47)))</formula>
    </cfRule>
  </conditionalFormatting>
  <conditionalFormatting sqref="R47">
    <cfRule type="containsText" dxfId="1458" priority="457" operator="containsText" text="ложь">
      <formula>NOT(ISERROR(SEARCH("ложь",R47)))</formula>
    </cfRule>
  </conditionalFormatting>
  <conditionalFormatting sqref="X23">
    <cfRule type="containsText" dxfId="1457" priority="456" operator="containsText" text="ложь">
      <formula>NOT(ISERROR(SEARCH("ложь",X23)))</formula>
    </cfRule>
  </conditionalFormatting>
  <conditionalFormatting sqref="V23">
    <cfRule type="containsText" dxfId="1456" priority="455" operator="containsText" text="ложь">
      <formula>NOT(ISERROR(SEARCH("ложь",V23)))</formula>
    </cfRule>
  </conditionalFormatting>
  <conditionalFormatting sqref="U23">
    <cfRule type="containsText" dxfId="1455" priority="454" operator="containsText" text="ложь">
      <formula>NOT(ISERROR(SEARCH("ложь",U23)))</formula>
    </cfRule>
  </conditionalFormatting>
  <conditionalFormatting sqref="T23">
    <cfRule type="containsText" dxfId="1454" priority="453" operator="containsText" text="ложь">
      <formula>NOT(ISERROR(SEARCH("ложь",T23)))</formula>
    </cfRule>
  </conditionalFormatting>
  <conditionalFormatting sqref="S23">
    <cfRule type="containsText" dxfId="1453" priority="452" operator="containsText" text="ложь">
      <formula>NOT(ISERROR(SEARCH("ложь",S23)))</formula>
    </cfRule>
  </conditionalFormatting>
  <conditionalFormatting sqref="R23">
    <cfRule type="containsText" dxfId="1452" priority="451" operator="containsText" text="ложь">
      <formula>NOT(ISERROR(SEARCH("ложь",R23)))</formula>
    </cfRule>
  </conditionalFormatting>
  <conditionalFormatting sqref="X48">
    <cfRule type="containsText" dxfId="1451" priority="444" operator="containsText" text="ложь">
      <formula>NOT(ISERROR(SEARCH("ложь",X48)))</formula>
    </cfRule>
  </conditionalFormatting>
  <conditionalFormatting sqref="V48">
    <cfRule type="containsText" dxfId="1450" priority="443" operator="containsText" text="ложь">
      <formula>NOT(ISERROR(SEARCH("ложь",V48)))</formula>
    </cfRule>
  </conditionalFormatting>
  <conditionalFormatting sqref="U48">
    <cfRule type="containsText" dxfId="1449" priority="442" operator="containsText" text="ложь">
      <formula>NOT(ISERROR(SEARCH("ложь",U48)))</formula>
    </cfRule>
  </conditionalFormatting>
  <conditionalFormatting sqref="T48">
    <cfRule type="containsText" dxfId="1448" priority="441" operator="containsText" text="ложь">
      <formula>NOT(ISERROR(SEARCH("ложь",T48)))</formula>
    </cfRule>
  </conditionalFormatting>
  <conditionalFormatting sqref="S48">
    <cfRule type="containsText" dxfId="1447" priority="440" operator="containsText" text="ложь">
      <formula>NOT(ISERROR(SEARCH("ложь",S48)))</formula>
    </cfRule>
  </conditionalFormatting>
  <conditionalFormatting sqref="R48">
    <cfRule type="containsText" dxfId="1446" priority="439" operator="containsText" text="ложь">
      <formula>NOT(ISERROR(SEARCH("ложь",R48)))</formula>
    </cfRule>
  </conditionalFormatting>
  <conditionalFormatting sqref="B24">
    <cfRule type="containsText" dxfId="1445" priority="438" operator="containsText" text="ложь">
      <formula>NOT(ISERROR(SEARCH("ложь",B24)))</formula>
    </cfRule>
  </conditionalFormatting>
  <conditionalFormatting sqref="R24:V24">
    <cfRule type="containsText" dxfId="1444" priority="437" operator="containsText" text="ложь">
      <formula>NOT(ISERROR(SEARCH("ложь",R24)))</formula>
    </cfRule>
  </conditionalFormatting>
  <conditionalFormatting sqref="Y63:Y67 Y148:Y154">
    <cfRule type="containsText" dxfId="1443" priority="436" operator="containsText" text="ложь">
      <formula>NOT(ISERROR(SEARCH("ложь",Y63)))</formula>
    </cfRule>
  </conditionalFormatting>
  <conditionalFormatting sqref="Y15:Y16 Y18:Y19 Y30:Y31 Y33:Y34 Y36:Y37 Y39:Y40 Y42:Y43 Y11:Y13 Y8 Y28 Y49:Y52 Y24:Y26">
    <cfRule type="containsText" dxfId="1442" priority="435" operator="containsText" text="ложь">
      <formula>NOT(ISERROR(SEARCH("ложь",Y8)))</formula>
    </cfRule>
  </conditionalFormatting>
  <conditionalFormatting sqref="Y10">
    <cfRule type="containsText" dxfId="1441" priority="434" operator="containsText" text="ложь">
      <formula>NOT(ISERROR(SEARCH("ложь",Y10)))</formula>
    </cfRule>
  </conditionalFormatting>
  <conditionalFormatting sqref="Y155">
    <cfRule type="containsText" dxfId="1440" priority="433" operator="containsText" text="ложь">
      <formula>NOT(ISERROR(SEARCH("ложь",Y155)))</formula>
    </cfRule>
  </conditionalFormatting>
  <conditionalFormatting sqref="Y156">
    <cfRule type="containsText" dxfId="1439" priority="432" operator="containsText" text="ложь">
      <formula>NOT(ISERROR(SEARCH("ложь",Y156)))</formula>
    </cfRule>
  </conditionalFormatting>
  <conditionalFormatting sqref="Y14">
    <cfRule type="containsText" dxfId="1438" priority="431" operator="containsText" text="ложь">
      <formula>NOT(ISERROR(SEARCH("ложь",Y14)))</formula>
    </cfRule>
  </conditionalFormatting>
  <conditionalFormatting sqref="Y17">
    <cfRule type="containsText" dxfId="1437" priority="430" operator="containsText" text="ложь">
      <formula>NOT(ISERROR(SEARCH("ложь",Y17)))</formula>
    </cfRule>
  </conditionalFormatting>
  <conditionalFormatting sqref="Y20">
    <cfRule type="containsText" dxfId="1436" priority="429" operator="containsText" text="ложь">
      <formula>NOT(ISERROR(SEARCH("ложь",Y20)))</formula>
    </cfRule>
  </conditionalFormatting>
  <conditionalFormatting sqref="Y29">
    <cfRule type="containsText" dxfId="1435" priority="428" operator="containsText" text="ложь">
      <formula>NOT(ISERROR(SEARCH("ложь",Y29)))</formula>
    </cfRule>
  </conditionalFormatting>
  <conditionalFormatting sqref="Y32">
    <cfRule type="containsText" dxfId="1434" priority="427" operator="containsText" text="ложь">
      <formula>NOT(ISERROR(SEARCH("ложь",Y32)))</formula>
    </cfRule>
  </conditionalFormatting>
  <conditionalFormatting sqref="Y35">
    <cfRule type="containsText" dxfId="1433" priority="426" operator="containsText" text="ложь">
      <formula>NOT(ISERROR(SEARCH("ложь",Y35)))</formula>
    </cfRule>
  </conditionalFormatting>
  <conditionalFormatting sqref="Y38">
    <cfRule type="containsText" dxfId="1432" priority="425" operator="containsText" text="ложь">
      <formula>NOT(ISERROR(SEARCH("ложь",Y38)))</formula>
    </cfRule>
  </conditionalFormatting>
  <conditionalFormatting sqref="Y41">
    <cfRule type="containsText" dxfId="1431" priority="424" operator="containsText" text="ложь">
      <formula>NOT(ISERROR(SEARCH("ложь",Y41)))</formula>
    </cfRule>
  </conditionalFormatting>
  <conditionalFormatting sqref="Y44">
    <cfRule type="containsText" dxfId="1430" priority="423" operator="containsText" text="ложь">
      <formula>NOT(ISERROR(SEARCH("ложь",Y44)))</formula>
    </cfRule>
  </conditionalFormatting>
  <conditionalFormatting sqref="Y53:Y62">
    <cfRule type="containsText" dxfId="1429" priority="422" operator="containsText" text="ложь">
      <formula>NOT(ISERROR(SEARCH("ложь",Y53)))</formula>
    </cfRule>
  </conditionalFormatting>
  <conditionalFormatting sqref="Y68">
    <cfRule type="containsText" dxfId="1428" priority="421" operator="containsText" text="ложь">
      <formula>NOT(ISERROR(SEARCH("ложь",Y68)))</formula>
    </cfRule>
  </conditionalFormatting>
  <conditionalFormatting sqref="Y27">
    <cfRule type="containsText" dxfId="1427" priority="420" operator="containsText" text="ложь">
      <formula>NOT(ISERROR(SEARCH("ложь",Y27)))</formula>
    </cfRule>
  </conditionalFormatting>
  <conditionalFormatting sqref="Y9">
    <cfRule type="containsText" dxfId="1426" priority="419" operator="containsText" text="ложь">
      <formula>NOT(ISERROR(SEARCH("ложь",Y9)))</formula>
    </cfRule>
  </conditionalFormatting>
  <conditionalFormatting sqref="Y47">
    <cfRule type="containsText" dxfId="1425" priority="418" operator="containsText" text="ложь">
      <formula>NOT(ISERROR(SEARCH("ложь",Y47)))</formula>
    </cfRule>
  </conditionalFormatting>
  <conditionalFormatting sqref="Y23">
    <cfRule type="containsText" dxfId="1424" priority="417" operator="containsText" text="ложь">
      <formula>NOT(ISERROR(SEARCH("ложь",Y23)))</formula>
    </cfRule>
  </conditionalFormatting>
  <conditionalFormatting sqref="Y48">
    <cfRule type="containsText" dxfId="1423" priority="416" operator="containsText" text="ложь">
      <formula>NOT(ISERROR(SEARCH("ложь",Y48)))</formula>
    </cfRule>
  </conditionalFormatting>
  <conditionalFormatting sqref="Z24:Z26">
    <cfRule type="containsText" dxfId="1422" priority="415" operator="containsText" text="ложь">
      <formula>NOT(ISERROR(SEARCH("ложь",Z24)))</formula>
    </cfRule>
  </conditionalFormatting>
  <conditionalFormatting sqref="Z23">
    <cfRule type="containsText" dxfId="1421" priority="414" operator="containsText" text="ложь">
      <formula>NOT(ISERROR(SEARCH("ложь",Z23)))</formula>
    </cfRule>
  </conditionalFormatting>
  <conditionalFormatting sqref="Z46 Z49:Z50">
    <cfRule type="containsText" dxfId="1420" priority="413" operator="containsText" text="ложь">
      <formula>NOT(ISERROR(SEARCH("ложь",Z46)))</formula>
    </cfRule>
  </conditionalFormatting>
  <conditionalFormatting sqref="Z47">
    <cfRule type="containsText" dxfId="1419" priority="412" operator="containsText" text="ложь">
      <formula>NOT(ISERROR(SEARCH("ложь",Z47)))</formula>
    </cfRule>
  </conditionalFormatting>
  <conditionalFormatting sqref="Z48">
    <cfRule type="containsText" dxfId="1418" priority="411" operator="containsText" text="ложь">
      <formula>NOT(ISERROR(SEARCH("ложь",Z48)))</formula>
    </cfRule>
  </conditionalFormatting>
  <conditionalFormatting sqref="AA24">
    <cfRule type="containsText" dxfId="1417" priority="407" operator="containsText" text="ложь">
      <formula>NOT(ISERROR(SEARCH("ложь",AA24)))</formula>
    </cfRule>
  </conditionalFormatting>
  <conditionalFormatting sqref="AA23">
    <cfRule type="containsText" dxfId="1416" priority="406" operator="containsText" text="ложь">
      <formula>NOT(ISERROR(SEARCH("ложь",AA23)))</formula>
    </cfRule>
  </conditionalFormatting>
  <conditionalFormatting sqref="AB24">
    <cfRule type="containsText" dxfId="1415" priority="405" operator="containsText" text="ложь">
      <formula>NOT(ISERROR(SEARCH("ложь",AB24)))</formula>
    </cfRule>
  </conditionalFormatting>
  <conditionalFormatting sqref="AB23">
    <cfRule type="containsText" dxfId="1414" priority="404" operator="containsText" text="ложь">
      <formula>NOT(ISERROR(SEARCH("ложь",AB23)))</formula>
    </cfRule>
  </conditionalFormatting>
  <conditionalFormatting sqref="AA49">
    <cfRule type="containsText" dxfId="1413" priority="403" operator="containsText" text="ложь">
      <formula>NOT(ISERROR(SEARCH("ложь",AA49)))</formula>
    </cfRule>
  </conditionalFormatting>
  <conditionalFormatting sqref="AB49">
    <cfRule type="containsText" dxfId="1412" priority="401" operator="containsText" text="ложь">
      <formula>NOT(ISERROR(SEARCH("ложь",AB49)))</formula>
    </cfRule>
  </conditionalFormatting>
  <conditionalFormatting sqref="AA47">
    <cfRule type="containsText" dxfId="1411" priority="399" operator="containsText" text="ложь">
      <formula>NOT(ISERROR(SEARCH("ложь",AA47)))</formula>
    </cfRule>
  </conditionalFormatting>
  <conditionalFormatting sqref="AA48">
    <cfRule type="containsText" dxfId="1410" priority="398" operator="containsText" text="ложь">
      <formula>NOT(ISERROR(SEARCH("ложь",AA48)))</formula>
    </cfRule>
  </conditionalFormatting>
  <conditionalFormatting sqref="AB47">
    <cfRule type="containsText" dxfId="1409" priority="397" operator="containsText" text="ложь">
      <formula>NOT(ISERROR(SEARCH("ложь",AB47)))</formula>
    </cfRule>
  </conditionalFormatting>
  <conditionalFormatting sqref="AB48">
    <cfRule type="containsText" dxfId="1408" priority="396" operator="containsText" text="ложь">
      <formula>NOT(ISERROR(SEARCH("ложь",AB48)))</formula>
    </cfRule>
  </conditionalFormatting>
  <conditionalFormatting sqref="AC1:AT7">
    <cfRule type="containsText" dxfId="1407" priority="395" operator="containsText" text="ложь">
      <formula>NOT(ISERROR(SEARCH("ложь",AC1)))</formula>
    </cfRule>
  </conditionalFormatting>
  <conditionalFormatting sqref="AC15:AC16 AC18:AC19 AC30:AC31 AC33:AC34 AC36:AC37 AC39:AC40 AC42:AC43 AC11:AC13 AC8:AC9">
    <cfRule type="containsText" dxfId="1406" priority="394" operator="containsText" text="ложь">
      <formula>NOT(ISERROR(SEARCH("ложь",AC8)))</formula>
    </cfRule>
  </conditionalFormatting>
  <conditionalFormatting sqref="AC10">
    <cfRule type="containsText" dxfId="1405" priority="393" operator="containsText" text="ложь">
      <formula>NOT(ISERROR(SEARCH("ложь",AC10)))</formula>
    </cfRule>
  </conditionalFormatting>
  <conditionalFormatting sqref="AC14">
    <cfRule type="containsText" dxfId="1404" priority="392" operator="containsText" text="ложь">
      <formula>NOT(ISERROR(SEARCH("ложь",AC14)))</formula>
    </cfRule>
  </conditionalFormatting>
  <conditionalFormatting sqref="AC17">
    <cfRule type="containsText" dxfId="1403" priority="391" operator="containsText" text="ложь">
      <formula>NOT(ISERROR(SEARCH("ложь",AC17)))</formula>
    </cfRule>
  </conditionalFormatting>
  <conditionalFormatting sqref="AC20">
    <cfRule type="containsText" dxfId="1402" priority="390" operator="containsText" text="ложь">
      <formula>NOT(ISERROR(SEARCH("ложь",AC20)))</formula>
    </cfRule>
  </conditionalFormatting>
  <conditionalFormatting sqref="AC29">
    <cfRule type="containsText" dxfId="1401" priority="389" operator="containsText" text="ложь">
      <formula>NOT(ISERROR(SEARCH("ложь",AC29)))</formula>
    </cfRule>
  </conditionalFormatting>
  <conditionalFormatting sqref="AC32">
    <cfRule type="containsText" dxfId="1400" priority="388" operator="containsText" text="ложь">
      <formula>NOT(ISERROR(SEARCH("ложь",AC32)))</formula>
    </cfRule>
  </conditionalFormatting>
  <conditionalFormatting sqref="AC35">
    <cfRule type="containsText" dxfId="1399" priority="387" operator="containsText" text="ложь">
      <formula>NOT(ISERROR(SEARCH("ложь",AC35)))</formula>
    </cfRule>
  </conditionalFormatting>
  <conditionalFormatting sqref="AC38">
    <cfRule type="containsText" dxfId="1398" priority="386" operator="containsText" text="ложь">
      <formula>NOT(ISERROR(SEARCH("ложь",AC38)))</formula>
    </cfRule>
  </conditionalFormatting>
  <conditionalFormatting sqref="AC41">
    <cfRule type="containsText" dxfId="1397" priority="385" operator="containsText" text="ложь">
      <formula>NOT(ISERROR(SEARCH("ложь",AC41)))</formula>
    </cfRule>
  </conditionalFormatting>
  <conditionalFormatting sqref="AC44">
    <cfRule type="containsText" dxfId="1396" priority="384" operator="containsText" text="ложь">
      <formula>NOT(ISERROR(SEARCH("ложь",AC44)))</formula>
    </cfRule>
  </conditionalFormatting>
  <conditionalFormatting sqref="AD148:AE156">
    <cfRule type="containsText" dxfId="1395" priority="325" operator="containsText" text="ложь">
      <formula>NOT(ISERROR(SEARCH("ложь",AD148)))</formula>
    </cfRule>
  </conditionalFormatting>
  <conditionalFormatting sqref="AD8:AE9 AD11:AE13 AD42:AE43 AD39:AE40 AD36:AE37 AD33:AE34 AD30:AE31 AD18:AE19 AD15:AE16 AD25:AE28">
    <cfRule type="containsText" dxfId="1394" priority="324" operator="containsText" text="ложь">
      <formula>NOT(ISERROR(SEARCH("ложь",AD8)))</formula>
    </cfRule>
  </conditionalFormatting>
  <conditionalFormatting sqref="AD10:AE10">
    <cfRule type="containsText" dxfId="1393" priority="323" operator="containsText" text="ложь">
      <formula>NOT(ISERROR(SEARCH("ложь",AD10)))</formula>
    </cfRule>
  </conditionalFormatting>
  <conditionalFormatting sqref="AD14:AE14">
    <cfRule type="containsText" dxfId="1392" priority="322" operator="containsText" text="ложь">
      <formula>NOT(ISERROR(SEARCH("ложь",AD14)))</formula>
    </cfRule>
  </conditionalFormatting>
  <conditionalFormatting sqref="AD17:AE17">
    <cfRule type="containsText" dxfId="1391" priority="321" operator="containsText" text="ложь">
      <formula>NOT(ISERROR(SEARCH("ложь",AD17)))</formula>
    </cfRule>
  </conditionalFormatting>
  <conditionalFormatting sqref="AD20:AE20">
    <cfRule type="containsText" dxfId="1390" priority="320" operator="containsText" text="ложь">
      <formula>NOT(ISERROR(SEARCH("ложь",AD20)))</formula>
    </cfRule>
  </conditionalFormatting>
  <conditionalFormatting sqref="AD29:AE29">
    <cfRule type="containsText" dxfId="1389" priority="319" operator="containsText" text="ложь">
      <formula>NOT(ISERROR(SEARCH("ложь",AD29)))</formula>
    </cfRule>
  </conditionalFormatting>
  <conditionalFormatting sqref="AD32:AE32">
    <cfRule type="containsText" dxfId="1388" priority="318" operator="containsText" text="ложь">
      <formula>NOT(ISERROR(SEARCH("ложь",AD32)))</formula>
    </cfRule>
  </conditionalFormatting>
  <conditionalFormatting sqref="AD35:AE35">
    <cfRule type="containsText" dxfId="1387" priority="317" operator="containsText" text="ложь">
      <formula>NOT(ISERROR(SEARCH("ложь",AD35)))</formula>
    </cfRule>
  </conditionalFormatting>
  <conditionalFormatting sqref="AD38:AE38">
    <cfRule type="containsText" dxfId="1386" priority="316" operator="containsText" text="ложь">
      <formula>NOT(ISERROR(SEARCH("ложь",AD38)))</formula>
    </cfRule>
  </conditionalFormatting>
  <conditionalFormatting sqref="AD41:AE41">
    <cfRule type="containsText" dxfId="1385" priority="315" operator="containsText" text="ложь">
      <formula>NOT(ISERROR(SEARCH("ложь",AD41)))</formula>
    </cfRule>
  </conditionalFormatting>
  <conditionalFormatting sqref="AD44:AE44">
    <cfRule type="containsText" dxfId="1384" priority="314" operator="containsText" text="ложь">
      <formula>NOT(ISERROR(SEARCH("ложь",AD44)))</formula>
    </cfRule>
  </conditionalFormatting>
  <conditionalFormatting sqref="AD24:AE24">
    <cfRule type="containsText" dxfId="1383" priority="313" operator="containsText" text="ложь">
      <formula>NOT(ISERROR(SEARCH("ложь",AD24)))</formula>
    </cfRule>
  </conditionalFormatting>
  <conditionalFormatting sqref="AD23:AE23">
    <cfRule type="containsText" dxfId="1382" priority="312" operator="containsText" text="ложь">
      <formula>NOT(ISERROR(SEARCH("ложь",AD23)))</formula>
    </cfRule>
  </conditionalFormatting>
  <conditionalFormatting sqref="AD49:AE49">
    <cfRule type="containsText" dxfId="1381" priority="311" operator="containsText" text="ложь">
      <formula>NOT(ISERROR(SEARCH("ложь",AD49)))</formula>
    </cfRule>
  </conditionalFormatting>
  <conditionalFormatting sqref="AD47:AE47">
    <cfRule type="containsText" dxfId="1380" priority="310" operator="containsText" text="ложь">
      <formula>NOT(ISERROR(SEARCH("ложь",AD47)))</formula>
    </cfRule>
  </conditionalFormatting>
  <conditionalFormatting sqref="AD48:AE48">
    <cfRule type="containsText" dxfId="1379" priority="309" operator="containsText" text="ложь">
      <formula>NOT(ISERROR(SEARCH("ложь",AD48)))</formula>
    </cfRule>
  </conditionalFormatting>
  <conditionalFormatting sqref="AF99:AI147 AF78:AI78 AI76:AI77 AF81:AI81 AI79:AI80 AF84:AI97 AI82:AI83">
    <cfRule type="containsText" dxfId="1378" priority="307" operator="containsText" text="ложь">
      <formula>NOT(ISERROR(SEARCH("ложь",AF76)))</formula>
    </cfRule>
  </conditionalFormatting>
  <conditionalFormatting sqref="AF148:AI156">
    <cfRule type="containsText" dxfId="1377" priority="305" operator="containsText" text="ложь">
      <formula>NOT(ISERROR(SEARCH("ложь",AF148)))</formula>
    </cfRule>
  </conditionalFormatting>
  <conditionalFormatting sqref="AF8:AI9 AF11:AI13 AF42:AI43 AF39:AI40 AF36:AI37 AF33:AI34 AF30:AI31 AF18:AI19 AF15:AI16 AF25:AI28">
    <cfRule type="containsText" dxfId="1376" priority="304" operator="containsText" text="ложь">
      <formula>NOT(ISERROR(SEARCH("ложь",AF8)))</formula>
    </cfRule>
  </conditionalFormatting>
  <conditionalFormatting sqref="AF10:AI10">
    <cfRule type="containsText" dxfId="1375" priority="303" operator="containsText" text="ложь">
      <formula>NOT(ISERROR(SEARCH("ложь",AF10)))</formula>
    </cfRule>
  </conditionalFormatting>
  <conditionalFormatting sqref="AF14:AI14">
    <cfRule type="containsText" dxfId="1374" priority="302" operator="containsText" text="ложь">
      <formula>NOT(ISERROR(SEARCH("ложь",AF14)))</formula>
    </cfRule>
  </conditionalFormatting>
  <conditionalFormatting sqref="AF17:AI17">
    <cfRule type="containsText" dxfId="1373" priority="301" operator="containsText" text="ложь">
      <formula>NOT(ISERROR(SEARCH("ложь",AF17)))</formula>
    </cfRule>
  </conditionalFormatting>
  <conditionalFormatting sqref="AF20:AI20">
    <cfRule type="containsText" dxfId="1372" priority="300" operator="containsText" text="ложь">
      <formula>NOT(ISERROR(SEARCH("ложь",AF20)))</formula>
    </cfRule>
  </conditionalFormatting>
  <conditionalFormatting sqref="AF29:AI29">
    <cfRule type="containsText" dxfId="1371" priority="299" operator="containsText" text="ложь">
      <formula>NOT(ISERROR(SEARCH("ложь",AF29)))</formula>
    </cfRule>
  </conditionalFormatting>
  <conditionalFormatting sqref="AF32:AI32">
    <cfRule type="containsText" dxfId="1370" priority="298" operator="containsText" text="ложь">
      <formula>NOT(ISERROR(SEARCH("ложь",AF32)))</formula>
    </cfRule>
  </conditionalFormatting>
  <conditionalFormatting sqref="AF35:AI35">
    <cfRule type="containsText" dxfId="1369" priority="297" operator="containsText" text="ложь">
      <formula>NOT(ISERROR(SEARCH("ложь",AF35)))</formula>
    </cfRule>
  </conditionalFormatting>
  <conditionalFormatting sqref="AF38:AI38">
    <cfRule type="containsText" dxfId="1368" priority="296" operator="containsText" text="ложь">
      <formula>NOT(ISERROR(SEARCH("ложь",AF38)))</formula>
    </cfRule>
  </conditionalFormatting>
  <conditionalFormatting sqref="AF41:AI41">
    <cfRule type="containsText" dxfId="1367" priority="295" operator="containsText" text="ложь">
      <formula>NOT(ISERROR(SEARCH("ложь",AF41)))</formula>
    </cfRule>
  </conditionalFormatting>
  <conditionalFormatting sqref="AF44:AI44">
    <cfRule type="containsText" dxfId="1366" priority="294" operator="containsText" text="ложь">
      <formula>NOT(ISERROR(SEARCH("ложь",AF44)))</formula>
    </cfRule>
  </conditionalFormatting>
  <conditionalFormatting sqref="AF24:AI24">
    <cfRule type="containsText" dxfId="1365" priority="293" operator="containsText" text="ложь">
      <formula>NOT(ISERROR(SEARCH("ложь",AF24)))</formula>
    </cfRule>
  </conditionalFormatting>
  <conditionalFormatting sqref="AF23:AI23">
    <cfRule type="containsText" dxfId="1364" priority="292" operator="containsText" text="ложь">
      <formula>NOT(ISERROR(SEARCH("ложь",AF23)))</formula>
    </cfRule>
  </conditionalFormatting>
  <conditionalFormatting sqref="AF49:AI49">
    <cfRule type="containsText" dxfId="1363" priority="291" operator="containsText" text="ложь">
      <formula>NOT(ISERROR(SEARCH("ложь",AF49)))</formula>
    </cfRule>
  </conditionalFormatting>
  <conditionalFormatting sqref="AF47:AI47">
    <cfRule type="containsText" dxfId="1362" priority="290" operator="containsText" text="ложь">
      <formula>NOT(ISERROR(SEARCH("ложь",AF47)))</formula>
    </cfRule>
  </conditionalFormatting>
  <conditionalFormatting sqref="AF48:AI48">
    <cfRule type="containsText" dxfId="1361" priority="289" operator="containsText" text="ложь">
      <formula>NOT(ISERROR(SEARCH("ложь",AF48)))</formula>
    </cfRule>
  </conditionalFormatting>
  <conditionalFormatting sqref="AG98:AI98">
    <cfRule type="containsText" dxfId="1360" priority="282" operator="containsText" text="ложь">
      <formula>NOT(ISERROR(SEARCH("ложь",AG98)))</formula>
    </cfRule>
  </conditionalFormatting>
  <conditionalFormatting sqref="AJ99:AJ147 AJ78 AJ81 AJ84:AJ97">
    <cfRule type="containsText" dxfId="1359" priority="281" operator="containsText" text="ложь">
      <formula>NOT(ISERROR(SEARCH("ложь",AJ78)))</formula>
    </cfRule>
  </conditionalFormatting>
  <conditionalFormatting sqref="AJ148:AJ156">
    <cfRule type="containsText" dxfId="1358" priority="279" operator="containsText" text="ложь">
      <formula>NOT(ISERROR(SEARCH("ложь",AJ148)))</formula>
    </cfRule>
  </conditionalFormatting>
  <conditionalFormatting sqref="AJ8 AJ11:AJ13 AJ42:AJ43 AJ39:AJ40 AJ36:AJ37 AJ33:AJ34 AJ30:AJ31 AJ18:AJ19 AJ15:AJ16 AJ25:AJ26 AJ28">
    <cfRule type="containsText" dxfId="1357" priority="278" operator="containsText" text="ложь">
      <formula>NOT(ISERROR(SEARCH("ложь",AJ8)))</formula>
    </cfRule>
  </conditionalFormatting>
  <conditionalFormatting sqref="AJ10">
    <cfRule type="containsText" dxfId="1356" priority="277" operator="containsText" text="ложь">
      <formula>NOT(ISERROR(SEARCH("ложь",AJ10)))</formula>
    </cfRule>
  </conditionalFormatting>
  <conditionalFormatting sqref="AJ14">
    <cfRule type="containsText" dxfId="1355" priority="276" operator="containsText" text="ложь">
      <formula>NOT(ISERROR(SEARCH("ложь",AJ14)))</formula>
    </cfRule>
  </conditionalFormatting>
  <conditionalFormatting sqref="AJ17">
    <cfRule type="containsText" dxfId="1354" priority="275" operator="containsText" text="ложь">
      <formula>NOT(ISERROR(SEARCH("ложь",AJ17)))</formula>
    </cfRule>
  </conditionalFormatting>
  <conditionalFormatting sqref="AJ20">
    <cfRule type="containsText" dxfId="1353" priority="274" operator="containsText" text="ложь">
      <formula>NOT(ISERROR(SEARCH("ложь",AJ20)))</formula>
    </cfRule>
  </conditionalFormatting>
  <conditionalFormatting sqref="AJ29">
    <cfRule type="containsText" dxfId="1352" priority="273" operator="containsText" text="ложь">
      <formula>NOT(ISERROR(SEARCH("ложь",AJ29)))</formula>
    </cfRule>
  </conditionalFormatting>
  <conditionalFormatting sqref="AJ32">
    <cfRule type="containsText" dxfId="1351" priority="272" operator="containsText" text="ложь">
      <formula>NOT(ISERROR(SEARCH("ложь",AJ32)))</formula>
    </cfRule>
  </conditionalFormatting>
  <conditionalFormatting sqref="AJ35">
    <cfRule type="containsText" dxfId="1350" priority="271" operator="containsText" text="ложь">
      <formula>NOT(ISERROR(SEARCH("ложь",AJ35)))</formula>
    </cfRule>
  </conditionalFormatting>
  <conditionalFormatting sqref="AJ38">
    <cfRule type="containsText" dxfId="1349" priority="270" operator="containsText" text="ложь">
      <formula>NOT(ISERROR(SEARCH("ложь",AJ38)))</formula>
    </cfRule>
  </conditionalFormatting>
  <conditionalFormatting sqref="AJ41">
    <cfRule type="containsText" dxfId="1348" priority="269" operator="containsText" text="ложь">
      <formula>NOT(ISERROR(SEARCH("ложь",AJ41)))</formula>
    </cfRule>
  </conditionalFormatting>
  <conditionalFormatting sqref="AJ44">
    <cfRule type="containsText" dxfId="1347" priority="268" operator="containsText" text="ложь">
      <formula>NOT(ISERROR(SEARCH("ложь",AJ44)))</formula>
    </cfRule>
  </conditionalFormatting>
  <conditionalFormatting sqref="AJ24">
    <cfRule type="containsText" dxfId="1346" priority="267" operator="containsText" text="ложь">
      <formula>NOT(ISERROR(SEARCH("ложь",AJ24)))</formula>
    </cfRule>
  </conditionalFormatting>
  <conditionalFormatting sqref="AJ23">
    <cfRule type="containsText" dxfId="1345" priority="266" operator="containsText" text="ложь">
      <formula>NOT(ISERROR(SEARCH("ложь",AJ23)))</formula>
    </cfRule>
  </conditionalFormatting>
  <conditionalFormatting sqref="AJ49">
    <cfRule type="containsText" dxfId="1344" priority="265" operator="containsText" text="ложь">
      <formula>NOT(ISERROR(SEARCH("ложь",AJ49)))</formula>
    </cfRule>
  </conditionalFormatting>
  <conditionalFormatting sqref="AJ47">
    <cfRule type="containsText" dxfId="1343" priority="264" operator="containsText" text="ложь">
      <formula>NOT(ISERROR(SEARCH("ложь",AJ47)))</formula>
    </cfRule>
  </conditionalFormatting>
  <conditionalFormatting sqref="AJ48">
    <cfRule type="containsText" dxfId="1342" priority="263" operator="containsText" text="ложь">
      <formula>NOT(ISERROR(SEARCH("ложь",AJ48)))</formula>
    </cfRule>
  </conditionalFormatting>
  <conditionalFormatting sqref="AJ98">
    <cfRule type="containsText" dxfId="1341" priority="243" operator="containsText" text="ложь">
      <formula>NOT(ISERROR(SEARCH("ложь",AJ98)))</formula>
    </cfRule>
  </conditionalFormatting>
  <conditionalFormatting sqref="AJ9">
    <cfRule type="containsText" dxfId="1340" priority="241" operator="containsText" text="ложь">
      <formula>NOT(ISERROR(SEARCH("ложь",AJ9)))</formula>
    </cfRule>
  </conditionalFormatting>
  <conditionalFormatting sqref="AJ27">
    <cfRule type="containsText" dxfId="1339" priority="240" operator="containsText" text="ложь">
      <formula>NOT(ISERROR(SEARCH("ложь",AJ27)))</formula>
    </cfRule>
  </conditionalFormatting>
  <conditionalFormatting sqref="AF76:AF77">
    <cfRule type="containsText" dxfId="1338" priority="239" operator="containsText" text="ложь">
      <formula>NOT(ISERROR(SEARCH("ложь",AF76)))</formula>
    </cfRule>
  </conditionalFormatting>
  <conditionalFormatting sqref="AG76:AG77">
    <cfRule type="containsText" dxfId="1337" priority="238" operator="containsText" text="ложь">
      <formula>NOT(ISERROR(SEARCH("ложь",AG76)))</formula>
    </cfRule>
  </conditionalFormatting>
  <conditionalFormatting sqref="AH76:AH77">
    <cfRule type="containsText" dxfId="1336" priority="237" operator="containsText" text="ложь">
      <formula>NOT(ISERROR(SEARCH("ложь",AH76)))</formula>
    </cfRule>
  </conditionalFormatting>
  <conditionalFormatting sqref="AJ77">
    <cfRule type="containsText" dxfId="1335" priority="236" operator="containsText" text="ложь">
      <formula>NOT(ISERROR(SEARCH("ложь",AJ77)))</formula>
    </cfRule>
  </conditionalFormatting>
  <conditionalFormatting sqref="AF79:AF80">
    <cfRule type="containsText" dxfId="1334" priority="235" operator="containsText" text="ложь">
      <formula>NOT(ISERROR(SEARCH("ложь",AF79)))</formula>
    </cfRule>
  </conditionalFormatting>
  <conditionalFormatting sqref="AG79:AG80">
    <cfRule type="containsText" dxfId="1333" priority="234" operator="containsText" text="ложь">
      <formula>NOT(ISERROR(SEARCH("ложь",AG79)))</formula>
    </cfRule>
  </conditionalFormatting>
  <conditionalFormatting sqref="AH79:AH80">
    <cfRule type="containsText" dxfId="1332" priority="233" operator="containsText" text="ложь">
      <formula>NOT(ISERROR(SEARCH("ложь",AH79)))</formula>
    </cfRule>
  </conditionalFormatting>
  <conditionalFormatting sqref="AJ79:AJ80">
    <cfRule type="containsText" dxfId="1331" priority="232" operator="containsText" text="ложь">
      <formula>NOT(ISERROR(SEARCH("ложь",AJ79)))</formula>
    </cfRule>
  </conditionalFormatting>
  <conditionalFormatting sqref="AF82:AF83">
    <cfRule type="containsText" dxfId="1330" priority="231" operator="containsText" text="ложь">
      <formula>NOT(ISERROR(SEARCH("ложь",AF82)))</formula>
    </cfRule>
  </conditionalFormatting>
  <conditionalFormatting sqref="AG82:AG83">
    <cfRule type="containsText" dxfId="1329" priority="230" operator="containsText" text="ложь">
      <formula>NOT(ISERROR(SEARCH("ложь",AG82)))</formula>
    </cfRule>
  </conditionalFormatting>
  <conditionalFormatting sqref="AH82:AH83">
    <cfRule type="containsText" dxfId="1328" priority="229" operator="containsText" text="ложь">
      <formula>NOT(ISERROR(SEARCH("ложь",AH82)))</formula>
    </cfRule>
  </conditionalFormatting>
  <conditionalFormatting sqref="AJ82:AJ83">
    <cfRule type="containsText" dxfId="1327" priority="228" operator="containsText" text="ложь">
      <formula>NOT(ISERROR(SEARCH("ложь",AJ82)))</formula>
    </cfRule>
  </conditionalFormatting>
  <conditionalFormatting sqref="AJ76">
    <cfRule type="containsText" dxfId="1326" priority="227" operator="containsText" text="ложь">
      <formula>NOT(ISERROR(SEARCH("ложь",AJ76)))</formula>
    </cfRule>
  </conditionalFormatting>
  <conditionalFormatting sqref="B47">
    <cfRule type="containsText" dxfId="1325" priority="226" operator="containsText" text="ложь">
      <formula>NOT(ISERROR(SEARCH("ложь",B47)))</formula>
    </cfRule>
  </conditionalFormatting>
  <conditionalFormatting sqref="B48">
    <cfRule type="containsText" dxfId="1324" priority="225" operator="containsText" text="ложь">
      <formula>NOT(ISERROR(SEARCH("ложь",B48)))</formula>
    </cfRule>
  </conditionalFormatting>
  <conditionalFormatting sqref="AK50:AK75 AK21:AK22 AK45:AK46">
    <cfRule type="containsText" dxfId="1323" priority="224" operator="containsText" text="ложь">
      <formula>NOT(ISERROR(SEARCH("ложь",AK21)))</formula>
    </cfRule>
  </conditionalFormatting>
  <conditionalFormatting sqref="AK99:AK147 AK78 AK81 AK84:AK97">
    <cfRule type="containsText" dxfId="1322" priority="223" operator="containsText" text="ложь">
      <formula>NOT(ISERROR(SEARCH("ложь",AK78)))</formula>
    </cfRule>
  </conditionalFormatting>
  <conditionalFormatting sqref="AK148:AK156">
    <cfRule type="containsText" dxfId="1321" priority="222" operator="containsText" text="ложь">
      <formula>NOT(ISERROR(SEARCH("ложь",AK148)))</formula>
    </cfRule>
  </conditionalFormatting>
  <conditionalFormatting sqref="AK8 AK11:AK13 AK42:AK43 AK39:AK40 AK36:AK37 AK33:AK34 AK30:AK31 AK18:AK19 AK15:AK16 AK25:AK26 AK28">
    <cfRule type="containsText" dxfId="1320" priority="221" operator="containsText" text="ложь">
      <formula>NOT(ISERROR(SEARCH("ложь",AK8)))</formula>
    </cfRule>
  </conditionalFormatting>
  <conditionalFormatting sqref="AK10">
    <cfRule type="containsText" dxfId="1319" priority="220" operator="containsText" text="ложь">
      <formula>NOT(ISERROR(SEARCH("ложь",AK10)))</formula>
    </cfRule>
  </conditionalFormatting>
  <conditionalFormatting sqref="AK14">
    <cfRule type="containsText" dxfId="1318" priority="219" operator="containsText" text="ложь">
      <formula>NOT(ISERROR(SEARCH("ложь",AK14)))</formula>
    </cfRule>
  </conditionalFormatting>
  <conditionalFormatting sqref="AK17">
    <cfRule type="containsText" dxfId="1317" priority="218" operator="containsText" text="ложь">
      <formula>NOT(ISERROR(SEARCH("ложь",AK17)))</formula>
    </cfRule>
  </conditionalFormatting>
  <conditionalFormatting sqref="AK20">
    <cfRule type="containsText" dxfId="1316" priority="217" operator="containsText" text="ложь">
      <formula>NOT(ISERROR(SEARCH("ложь",AK20)))</formula>
    </cfRule>
  </conditionalFormatting>
  <conditionalFormatting sqref="AK29">
    <cfRule type="containsText" dxfId="1315" priority="216" operator="containsText" text="ложь">
      <formula>NOT(ISERROR(SEARCH("ложь",AK29)))</formula>
    </cfRule>
  </conditionalFormatting>
  <conditionalFormatting sqref="AK32">
    <cfRule type="containsText" dxfId="1314" priority="215" operator="containsText" text="ложь">
      <formula>NOT(ISERROR(SEARCH("ложь",AK32)))</formula>
    </cfRule>
  </conditionalFormatting>
  <conditionalFormatting sqref="AK35">
    <cfRule type="containsText" dxfId="1313" priority="214" operator="containsText" text="ложь">
      <formula>NOT(ISERROR(SEARCH("ложь",AK35)))</formula>
    </cfRule>
  </conditionalFormatting>
  <conditionalFormatting sqref="AK38">
    <cfRule type="containsText" dxfId="1312" priority="213" operator="containsText" text="ложь">
      <formula>NOT(ISERROR(SEARCH("ложь",AK38)))</formula>
    </cfRule>
  </conditionalFormatting>
  <conditionalFormatting sqref="AK41">
    <cfRule type="containsText" dxfId="1311" priority="212" operator="containsText" text="ложь">
      <formula>NOT(ISERROR(SEARCH("ложь",AK41)))</formula>
    </cfRule>
  </conditionalFormatting>
  <conditionalFormatting sqref="AK44">
    <cfRule type="containsText" dxfId="1310" priority="211" operator="containsText" text="ложь">
      <formula>NOT(ISERROR(SEARCH("ложь",AK44)))</formula>
    </cfRule>
  </conditionalFormatting>
  <conditionalFormatting sqref="AK24">
    <cfRule type="containsText" dxfId="1309" priority="210" operator="containsText" text="ложь">
      <formula>NOT(ISERROR(SEARCH("ложь",AK24)))</formula>
    </cfRule>
  </conditionalFormatting>
  <conditionalFormatting sqref="AK23">
    <cfRule type="containsText" dxfId="1308" priority="209" operator="containsText" text="ложь">
      <formula>NOT(ISERROR(SEARCH("ложь",AK23)))</formula>
    </cfRule>
  </conditionalFormatting>
  <conditionalFormatting sqref="AK49">
    <cfRule type="containsText" dxfId="1307" priority="208" operator="containsText" text="ложь">
      <formula>NOT(ISERROR(SEARCH("ложь",AK49)))</formula>
    </cfRule>
  </conditionalFormatting>
  <conditionalFormatting sqref="AK47">
    <cfRule type="containsText" dxfId="1306" priority="207" operator="containsText" text="ложь">
      <formula>NOT(ISERROR(SEARCH("ложь",AK47)))</formula>
    </cfRule>
  </conditionalFormatting>
  <conditionalFormatting sqref="AK48">
    <cfRule type="containsText" dxfId="1305" priority="206" operator="containsText" text="ложь">
      <formula>NOT(ISERROR(SEARCH("ложь",AK48)))</formula>
    </cfRule>
  </conditionalFormatting>
  <conditionalFormatting sqref="AK98">
    <cfRule type="containsText" dxfId="1304" priority="205" operator="containsText" text="ложь">
      <formula>NOT(ISERROR(SEARCH("ложь",AK98)))</formula>
    </cfRule>
  </conditionalFormatting>
  <conditionalFormatting sqref="AK9">
    <cfRule type="containsText" dxfId="1303" priority="204" operator="containsText" text="ложь">
      <formula>NOT(ISERROR(SEARCH("ложь",AK9)))</formula>
    </cfRule>
  </conditionalFormatting>
  <conditionalFormatting sqref="AK27">
    <cfRule type="containsText" dxfId="1302" priority="203" operator="containsText" text="ложь">
      <formula>NOT(ISERROR(SEARCH("ложь",AK27)))</formula>
    </cfRule>
  </conditionalFormatting>
  <conditionalFormatting sqref="AK77">
    <cfRule type="containsText" dxfId="1301" priority="202" operator="containsText" text="ложь">
      <formula>NOT(ISERROR(SEARCH("ложь",AK77)))</formula>
    </cfRule>
  </conditionalFormatting>
  <conditionalFormatting sqref="AK79:AK80">
    <cfRule type="containsText" dxfId="1300" priority="201" operator="containsText" text="ложь">
      <formula>NOT(ISERROR(SEARCH("ложь",AK79)))</formula>
    </cfRule>
  </conditionalFormatting>
  <conditionalFormatting sqref="AK82:AK83">
    <cfRule type="containsText" dxfId="1299" priority="200" operator="containsText" text="ложь">
      <formula>NOT(ISERROR(SEARCH("ложь",AK82)))</formula>
    </cfRule>
  </conditionalFormatting>
  <conditionalFormatting sqref="AK76">
    <cfRule type="containsText" dxfId="1298" priority="199" operator="containsText" text="ложь">
      <formula>NOT(ISERROR(SEARCH("ложь",AK76)))</formula>
    </cfRule>
  </conditionalFormatting>
  <conditionalFormatting sqref="AD98">
    <cfRule type="containsText" dxfId="1297" priority="194" operator="containsText" text="ложь">
      <formula>NOT(ISERROR(SEARCH("ложь",AD98)))</formula>
    </cfRule>
  </conditionalFormatting>
  <conditionalFormatting sqref="AL50:AO75 AL21:AO22 AL45:AO46">
    <cfRule type="containsText" dxfId="1296" priority="193" operator="containsText" text="ложь">
      <formula>NOT(ISERROR(SEARCH("ложь",AL21)))</formula>
    </cfRule>
  </conditionalFormatting>
  <conditionalFormatting sqref="AL99:AO147 AL78:AO78 AL81:AO81 AL84:AO97">
    <cfRule type="containsText" dxfId="1295" priority="192" operator="containsText" text="ложь">
      <formula>NOT(ISERROR(SEARCH("ложь",AL78)))</formula>
    </cfRule>
  </conditionalFormatting>
  <conditionalFormatting sqref="AL148:AO156">
    <cfRule type="containsText" dxfId="1294" priority="191" operator="containsText" text="ложь">
      <formula>NOT(ISERROR(SEARCH("ложь",AL148)))</formula>
    </cfRule>
  </conditionalFormatting>
  <conditionalFormatting sqref="AL8:AO8 AL11:AO13 AL42:AO43 AL39:AO40 AL36:AO37 AL33:AO34 AL30:AO31 AL18:AO19 AL15:AO16 AL25:AO26 AL28:AO28">
    <cfRule type="containsText" dxfId="1293" priority="190" operator="containsText" text="ложь">
      <formula>NOT(ISERROR(SEARCH("ложь",AL8)))</formula>
    </cfRule>
  </conditionalFormatting>
  <conditionalFormatting sqref="AL10:AO10">
    <cfRule type="containsText" dxfId="1292" priority="189" operator="containsText" text="ложь">
      <formula>NOT(ISERROR(SEARCH("ложь",AL10)))</formula>
    </cfRule>
  </conditionalFormatting>
  <conditionalFormatting sqref="AL14:AO14">
    <cfRule type="containsText" dxfId="1291" priority="188" operator="containsText" text="ложь">
      <formula>NOT(ISERROR(SEARCH("ложь",AL14)))</formula>
    </cfRule>
  </conditionalFormatting>
  <conditionalFormatting sqref="AL17:AO17">
    <cfRule type="containsText" dxfId="1290" priority="187" operator="containsText" text="ложь">
      <formula>NOT(ISERROR(SEARCH("ложь",AL17)))</formula>
    </cfRule>
  </conditionalFormatting>
  <conditionalFormatting sqref="AL20:AO20">
    <cfRule type="containsText" dxfId="1289" priority="186" operator="containsText" text="ложь">
      <formula>NOT(ISERROR(SEARCH("ложь",AL20)))</formula>
    </cfRule>
  </conditionalFormatting>
  <conditionalFormatting sqref="AL29:AO29">
    <cfRule type="containsText" dxfId="1288" priority="185" operator="containsText" text="ложь">
      <formula>NOT(ISERROR(SEARCH("ложь",AL29)))</formula>
    </cfRule>
  </conditionalFormatting>
  <conditionalFormatting sqref="AL32:AO32">
    <cfRule type="containsText" dxfId="1287" priority="184" operator="containsText" text="ложь">
      <formula>NOT(ISERROR(SEARCH("ложь",AL32)))</formula>
    </cfRule>
  </conditionalFormatting>
  <conditionalFormatting sqref="AL35:AO35">
    <cfRule type="containsText" dxfId="1286" priority="183" operator="containsText" text="ложь">
      <formula>NOT(ISERROR(SEARCH("ложь",AL35)))</formula>
    </cfRule>
  </conditionalFormatting>
  <conditionalFormatting sqref="AL38:AO38">
    <cfRule type="containsText" dxfId="1285" priority="182" operator="containsText" text="ложь">
      <formula>NOT(ISERROR(SEARCH("ложь",AL38)))</formula>
    </cfRule>
  </conditionalFormatting>
  <conditionalFormatting sqref="AL41:AO41">
    <cfRule type="containsText" dxfId="1284" priority="181" operator="containsText" text="ложь">
      <formula>NOT(ISERROR(SEARCH("ложь",AL41)))</formula>
    </cfRule>
  </conditionalFormatting>
  <conditionalFormatting sqref="AL44:AO44">
    <cfRule type="containsText" dxfId="1283" priority="180" operator="containsText" text="ложь">
      <formula>NOT(ISERROR(SEARCH("ложь",AL44)))</formula>
    </cfRule>
  </conditionalFormatting>
  <conditionalFormatting sqref="AL24:AO24">
    <cfRule type="containsText" dxfId="1282" priority="179" operator="containsText" text="ложь">
      <formula>NOT(ISERROR(SEARCH("ложь",AL24)))</formula>
    </cfRule>
  </conditionalFormatting>
  <conditionalFormatting sqref="AL23:AO23">
    <cfRule type="containsText" dxfId="1281" priority="178" operator="containsText" text="ложь">
      <formula>NOT(ISERROR(SEARCH("ложь",AL23)))</formula>
    </cfRule>
  </conditionalFormatting>
  <conditionalFormatting sqref="AL49:AO49">
    <cfRule type="containsText" dxfId="1280" priority="177" operator="containsText" text="ложь">
      <formula>NOT(ISERROR(SEARCH("ложь",AL49)))</formula>
    </cfRule>
  </conditionalFormatting>
  <conditionalFormatting sqref="AL47:AO47">
    <cfRule type="containsText" dxfId="1279" priority="176" operator="containsText" text="ложь">
      <formula>NOT(ISERROR(SEARCH("ложь",AL47)))</formula>
    </cfRule>
  </conditionalFormatting>
  <conditionalFormatting sqref="AL48:AO48">
    <cfRule type="containsText" dxfId="1278" priority="175" operator="containsText" text="ложь">
      <formula>NOT(ISERROR(SEARCH("ложь",AL48)))</formula>
    </cfRule>
  </conditionalFormatting>
  <conditionalFormatting sqref="AL98:AO98">
    <cfRule type="containsText" dxfId="1277" priority="174" operator="containsText" text="ложь">
      <formula>NOT(ISERROR(SEARCH("ложь",AL98)))</formula>
    </cfRule>
  </conditionalFormatting>
  <conditionalFormatting sqref="AL9:AO9">
    <cfRule type="containsText" dxfId="1276" priority="173" operator="containsText" text="ложь">
      <formula>NOT(ISERROR(SEARCH("ложь",AL9)))</formula>
    </cfRule>
  </conditionalFormatting>
  <conditionalFormatting sqref="AL27:AO27">
    <cfRule type="containsText" dxfId="1275" priority="172" operator="containsText" text="ложь">
      <formula>NOT(ISERROR(SEARCH("ложь",AL27)))</formula>
    </cfRule>
  </conditionalFormatting>
  <conditionalFormatting sqref="AL77:AO77">
    <cfRule type="containsText" dxfId="1274" priority="171" operator="containsText" text="ложь">
      <formula>NOT(ISERROR(SEARCH("ложь",AL77)))</formula>
    </cfRule>
  </conditionalFormatting>
  <conditionalFormatting sqref="AL79:AO80">
    <cfRule type="containsText" dxfId="1273" priority="170" operator="containsText" text="ложь">
      <formula>NOT(ISERROR(SEARCH("ложь",AL79)))</formula>
    </cfRule>
  </conditionalFormatting>
  <conditionalFormatting sqref="AL82:AO83">
    <cfRule type="containsText" dxfId="1272" priority="169" operator="containsText" text="ложь">
      <formula>NOT(ISERROR(SEARCH("ложь",AL82)))</formula>
    </cfRule>
  </conditionalFormatting>
  <conditionalFormatting sqref="AL76:AO76">
    <cfRule type="containsText" dxfId="1271" priority="168" operator="containsText" text="ложь">
      <formula>NOT(ISERROR(SEARCH("ложь",AL76)))</formula>
    </cfRule>
  </conditionalFormatting>
  <conditionalFormatting sqref="AR79:AT80">
    <cfRule type="containsText" dxfId="1270" priority="82" operator="containsText" text="ложь">
      <formula>NOT(ISERROR(SEARCH("ложь",AR79)))</formula>
    </cfRule>
  </conditionalFormatting>
  <conditionalFormatting sqref="AR82:AT83">
    <cfRule type="containsText" dxfId="1269" priority="81" operator="containsText" text="ложь">
      <formula>NOT(ISERROR(SEARCH("ложь",AR82)))</formula>
    </cfRule>
  </conditionalFormatting>
  <conditionalFormatting sqref="AR76:AT76">
    <cfRule type="containsText" dxfId="1268" priority="80" operator="containsText" text="ложь">
      <formula>NOT(ISERROR(SEARCH("ложь",AR76)))</formula>
    </cfRule>
  </conditionalFormatting>
  <conditionalFormatting sqref="AQ50:AQ57 AQ21:AQ22 AQ45:AQ46 AQ59:AQ75">
    <cfRule type="containsText" dxfId="1267" priority="131" operator="containsText" text="ложь">
      <formula>NOT(ISERROR(SEARCH("ложь",AQ21)))</formula>
    </cfRule>
  </conditionalFormatting>
  <conditionalFormatting sqref="AQ99:AQ147 AQ78 AQ81 AQ84:AQ97">
    <cfRule type="containsText" dxfId="1266" priority="130" operator="containsText" text="ложь">
      <formula>NOT(ISERROR(SEARCH("ложь",AQ78)))</formula>
    </cfRule>
  </conditionalFormatting>
  <conditionalFormatting sqref="AQ148:AQ156">
    <cfRule type="containsText" dxfId="1265" priority="129" operator="containsText" text="ложь">
      <formula>NOT(ISERROR(SEARCH("ложь",AQ148)))</formula>
    </cfRule>
  </conditionalFormatting>
  <conditionalFormatting sqref="AQ8 AQ11:AQ13 AQ42:AQ43 AQ39:AQ40 AQ36:AQ37 AQ33:AQ34 AQ30:AQ31 AQ18:AQ19 AQ15:AQ16 AQ25:AQ26 AQ28">
    <cfRule type="containsText" dxfId="1264" priority="128" operator="containsText" text="ложь">
      <formula>NOT(ISERROR(SEARCH("ложь",AQ8)))</formula>
    </cfRule>
  </conditionalFormatting>
  <conditionalFormatting sqref="AQ10">
    <cfRule type="containsText" dxfId="1263" priority="127" operator="containsText" text="ложь">
      <formula>NOT(ISERROR(SEARCH("ложь",AQ10)))</formula>
    </cfRule>
  </conditionalFormatting>
  <conditionalFormatting sqref="AQ14">
    <cfRule type="containsText" dxfId="1262" priority="126" operator="containsText" text="ложь">
      <formula>NOT(ISERROR(SEARCH("ложь",AQ14)))</formula>
    </cfRule>
  </conditionalFormatting>
  <conditionalFormatting sqref="AQ17">
    <cfRule type="containsText" dxfId="1261" priority="125" operator="containsText" text="ложь">
      <formula>NOT(ISERROR(SEARCH("ложь",AQ17)))</formula>
    </cfRule>
  </conditionalFormatting>
  <conditionalFormatting sqref="AQ20">
    <cfRule type="containsText" dxfId="1260" priority="124" operator="containsText" text="ложь">
      <formula>NOT(ISERROR(SEARCH("ложь",AQ20)))</formula>
    </cfRule>
  </conditionalFormatting>
  <conditionalFormatting sqref="AQ29">
    <cfRule type="containsText" dxfId="1259" priority="123" operator="containsText" text="ложь">
      <formula>NOT(ISERROR(SEARCH("ложь",AQ29)))</formula>
    </cfRule>
  </conditionalFormatting>
  <conditionalFormatting sqref="AQ32">
    <cfRule type="containsText" dxfId="1258" priority="122" operator="containsText" text="ложь">
      <formula>NOT(ISERROR(SEARCH("ложь",AQ32)))</formula>
    </cfRule>
  </conditionalFormatting>
  <conditionalFormatting sqref="AQ35">
    <cfRule type="containsText" dxfId="1257" priority="121" operator="containsText" text="ложь">
      <formula>NOT(ISERROR(SEARCH("ложь",AQ35)))</formula>
    </cfRule>
  </conditionalFormatting>
  <conditionalFormatting sqref="AQ38">
    <cfRule type="containsText" dxfId="1256" priority="120" operator="containsText" text="ложь">
      <formula>NOT(ISERROR(SEARCH("ложь",AQ38)))</formula>
    </cfRule>
  </conditionalFormatting>
  <conditionalFormatting sqref="AQ41">
    <cfRule type="containsText" dxfId="1255" priority="119" operator="containsText" text="ложь">
      <formula>NOT(ISERROR(SEARCH("ложь",AQ41)))</formula>
    </cfRule>
  </conditionalFormatting>
  <conditionalFormatting sqref="AQ44">
    <cfRule type="containsText" dxfId="1254" priority="118" operator="containsText" text="ложь">
      <formula>NOT(ISERROR(SEARCH("ложь",AQ44)))</formula>
    </cfRule>
  </conditionalFormatting>
  <conditionalFormatting sqref="AQ24">
    <cfRule type="containsText" dxfId="1253" priority="117" operator="containsText" text="ложь">
      <formula>NOT(ISERROR(SEARCH("ложь",AQ24)))</formula>
    </cfRule>
  </conditionalFormatting>
  <conditionalFormatting sqref="AQ23">
    <cfRule type="containsText" dxfId="1252" priority="116" operator="containsText" text="ложь">
      <formula>NOT(ISERROR(SEARCH("ложь",AQ23)))</formula>
    </cfRule>
  </conditionalFormatting>
  <conditionalFormatting sqref="AQ49">
    <cfRule type="containsText" dxfId="1251" priority="115" operator="containsText" text="ложь">
      <formula>NOT(ISERROR(SEARCH("ложь",AQ49)))</formula>
    </cfRule>
  </conditionalFormatting>
  <conditionalFormatting sqref="AQ47">
    <cfRule type="containsText" dxfId="1250" priority="114" operator="containsText" text="ложь">
      <formula>NOT(ISERROR(SEARCH("ложь",AQ47)))</formula>
    </cfRule>
  </conditionalFormatting>
  <conditionalFormatting sqref="AQ48">
    <cfRule type="containsText" dxfId="1249" priority="113" operator="containsText" text="ложь">
      <formula>NOT(ISERROR(SEARCH("ложь",AQ48)))</formula>
    </cfRule>
  </conditionalFormatting>
  <conditionalFormatting sqref="AQ98">
    <cfRule type="containsText" dxfId="1248" priority="112" operator="containsText" text="ложь">
      <formula>NOT(ISERROR(SEARCH("ложь",AQ98)))</formula>
    </cfRule>
  </conditionalFormatting>
  <conditionalFormatting sqref="AQ9">
    <cfRule type="containsText" dxfId="1247" priority="111" operator="containsText" text="ложь">
      <formula>NOT(ISERROR(SEARCH("ложь",AQ9)))</formula>
    </cfRule>
  </conditionalFormatting>
  <conditionalFormatting sqref="AQ27">
    <cfRule type="containsText" dxfId="1246" priority="110" operator="containsText" text="ложь">
      <formula>NOT(ISERROR(SEARCH("ложь",AQ27)))</formula>
    </cfRule>
  </conditionalFormatting>
  <conditionalFormatting sqref="AQ77">
    <cfRule type="containsText" dxfId="1245" priority="109" operator="containsText" text="ложь">
      <formula>NOT(ISERROR(SEARCH("ложь",AQ77)))</formula>
    </cfRule>
  </conditionalFormatting>
  <conditionalFormatting sqref="AQ79:AQ80">
    <cfRule type="containsText" dxfId="1244" priority="108" operator="containsText" text="ложь">
      <formula>NOT(ISERROR(SEARCH("ложь",AQ79)))</formula>
    </cfRule>
  </conditionalFormatting>
  <conditionalFormatting sqref="AQ82:AQ83">
    <cfRule type="containsText" dxfId="1243" priority="107" operator="containsText" text="ложь">
      <formula>NOT(ISERROR(SEARCH("ложь",AQ82)))</formula>
    </cfRule>
  </conditionalFormatting>
  <conditionalFormatting sqref="AQ76">
    <cfRule type="containsText" dxfId="1242" priority="106" operator="containsText" text="ложь">
      <formula>NOT(ISERROR(SEARCH("ложь",AQ76)))</formula>
    </cfRule>
  </conditionalFormatting>
  <conditionalFormatting sqref="AR50:AT57 AR21:AT22 AR45:AT46 AR59:AT75">
    <cfRule type="containsText" dxfId="1241" priority="105" operator="containsText" text="ложь">
      <formula>NOT(ISERROR(SEARCH("ложь",AR21)))</formula>
    </cfRule>
  </conditionalFormatting>
  <conditionalFormatting sqref="AR99:AT147 AR78:AT78 AR81:AT81 AR84:AT97">
    <cfRule type="containsText" dxfId="1240" priority="104" operator="containsText" text="ложь">
      <formula>NOT(ISERROR(SEARCH("ложь",AR78)))</formula>
    </cfRule>
  </conditionalFormatting>
  <conditionalFormatting sqref="AR148:AT156">
    <cfRule type="containsText" dxfId="1239" priority="103" operator="containsText" text="ложь">
      <formula>NOT(ISERROR(SEARCH("ложь",AR148)))</formula>
    </cfRule>
  </conditionalFormatting>
  <conditionalFormatting sqref="AR8:AT8 AR11:AT13 AR42:AT43 AR39:AT40 AR36:AT37 AR33:AT34 AR30:AT31 AR18:AT19 AR15:AT16 AR25:AT26 AR28:AT28">
    <cfRule type="containsText" dxfId="1238" priority="102" operator="containsText" text="ложь">
      <formula>NOT(ISERROR(SEARCH("ложь",AR8)))</formula>
    </cfRule>
  </conditionalFormatting>
  <conditionalFormatting sqref="AR10:AT10">
    <cfRule type="containsText" dxfId="1237" priority="101" operator="containsText" text="ложь">
      <formula>NOT(ISERROR(SEARCH("ложь",AR10)))</formula>
    </cfRule>
  </conditionalFormatting>
  <conditionalFormatting sqref="AR14:AT14">
    <cfRule type="containsText" dxfId="1236" priority="100" operator="containsText" text="ложь">
      <formula>NOT(ISERROR(SEARCH("ложь",AR14)))</formula>
    </cfRule>
  </conditionalFormatting>
  <conditionalFormatting sqref="AR17:AT17">
    <cfRule type="containsText" dxfId="1235" priority="99" operator="containsText" text="ложь">
      <formula>NOT(ISERROR(SEARCH("ложь",AR17)))</formula>
    </cfRule>
  </conditionalFormatting>
  <conditionalFormatting sqref="AR20:AT20">
    <cfRule type="containsText" dxfId="1234" priority="98" operator="containsText" text="ложь">
      <formula>NOT(ISERROR(SEARCH("ложь",AR20)))</formula>
    </cfRule>
  </conditionalFormatting>
  <conditionalFormatting sqref="AR29:AT29">
    <cfRule type="containsText" dxfId="1233" priority="97" operator="containsText" text="ложь">
      <formula>NOT(ISERROR(SEARCH("ложь",AR29)))</formula>
    </cfRule>
  </conditionalFormatting>
  <conditionalFormatting sqref="AR32:AT32">
    <cfRule type="containsText" dxfId="1232" priority="96" operator="containsText" text="ложь">
      <formula>NOT(ISERROR(SEARCH("ложь",AR32)))</formula>
    </cfRule>
  </conditionalFormatting>
  <conditionalFormatting sqref="AR35:AT35">
    <cfRule type="containsText" dxfId="1231" priority="95" operator="containsText" text="ложь">
      <formula>NOT(ISERROR(SEARCH("ложь",AR35)))</formula>
    </cfRule>
  </conditionalFormatting>
  <conditionalFormatting sqref="AR38:AT38">
    <cfRule type="containsText" dxfId="1230" priority="94" operator="containsText" text="ложь">
      <formula>NOT(ISERROR(SEARCH("ложь",AR38)))</formula>
    </cfRule>
  </conditionalFormatting>
  <conditionalFormatting sqref="AR41:AT41">
    <cfRule type="containsText" dxfId="1229" priority="93" operator="containsText" text="ложь">
      <formula>NOT(ISERROR(SEARCH("ложь",AR41)))</formula>
    </cfRule>
  </conditionalFormatting>
  <conditionalFormatting sqref="AR44:AT44">
    <cfRule type="containsText" dxfId="1228" priority="92" operator="containsText" text="ложь">
      <formula>NOT(ISERROR(SEARCH("ложь",AR44)))</formula>
    </cfRule>
  </conditionalFormatting>
  <conditionalFormatting sqref="AR24:AT24">
    <cfRule type="containsText" dxfId="1227" priority="91" operator="containsText" text="ложь">
      <formula>NOT(ISERROR(SEARCH("ложь",AR24)))</formula>
    </cfRule>
  </conditionalFormatting>
  <conditionalFormatting sqref="AR23:AT23">
    <cfRule type="containsText" dxfId="1226" priority="90" operator="containsText" text="ложь">
      <formula>NOT(ISERROR(SEARCH("ложь",AR23)))</formula>
    </cfRule>
  </conditionalFormatting>
  <conditionalFormatting sqref="AR49:AT49">
    <cfRule type="containsText" dxfId="1225" priority="89" operator="containsText" text="ложь">
      <formula>NOT(ISERROR(SEARCH("ложь",AR49)))</formula>
    </cfRule>
  </conditionalFormatting>
  <conditionalFormatting sqref="AR47:AT47">
    <cfRule type="containsText" dxfId="1224" priority="88" operator="containsText" text="ложь">
      <formula>NOT(ISERROR(SEARCH("ложь",AR47)))</formula>
    </cfRule>
  </conditionalFormatting>
  <conditionalFormatting sqref="AR48:AT48">
    <cfRule type="containsText" dxfId="1223" priority="87" operator="containsText" text="ложь">
      <formula>NOT(ISERROR(SEARCH("ложь",AR48)))</formula>
    </cfRule>
  </conditionalFormatting>
  <conditionalFormatting sqref="AR98:AT98">
    <cfRule type="containsText" dxfId="1222" priority="86" operator="containsText" text="ложь">
      <formula>NOT(ISERROR(SEARCH("ложь",AR98)))</formula>
    </cfRule>
  </conditionalFormatting>
  <conditionalFormatting sqref="AR9:AT9">
    <cfRule type="containsText" dxfId="1221" priority="85" operator="containsText" text="ложь">
      <formula>NOT(ISERROR(SEARCH("ложь",AR9)))</formula>
    </cfRule>
  </conditionalFormatting>
  <conditionalFormatting sqref="AR27:AT27">
    <cfRule type="containsText" dxfId="1220" priority="84" operator="containsText" text="ложь">
      <formula>NOT(ISERROR(SEARCH("ложь",AR27)))</formula>
    </cfRule>
  </conditionalFormatting>
  <conditionalFormatting sqref="AR77:AT77">
    <cfRule type="containsText" dxfId="1219" priority="83" operator="containsText" text="ложь">
      <formula>NOT(ISERROR(SEARCH("ложь",AR77)))</formula>
    </cfRule>
  </conditionalFormatting>
  <conditionalFormatting sqref="AP79:AP80">
    <cfRule type="containsText" dxfId="1218" priority="56" operator="containsText" text="ложь">
      <formula>NOT(ISERROR(SEARCH("ложь",AP79)))</formula>
    </cfRule>
  </conditionalFormatting>
  <conditionalFormatting sqref="AP82:AP83">
    <cfRule type="containsText" dxfId="1217" priority="55" operator="containsText" text="ложь">
      <formula>NOT(ISERROR(SEARCH("ложь",AP82)))</formula>
    </cfRule>
  </conditionalFormatting>
  <conditionalFormatting sqref="AP76">
    <cfRule type="containsText" dxfId="1216" priority="54" operator="containsText" text="ложь">
      <formula>NOT(ISERROR(SEARCH("ложь",AP76)))</formula>
    </cfRule>
  </conditionalFormatting>
  <conditionalFormatting sqref="AP21:AP22 AP45:AP46 AP50:AP75">
    <cfRule type="containsText" dxfId="1215" priority="79" operator="containsText" text="ложь">
      <formula>NOT(ISERROR(SEARCH("ложь",AP21)))</formula>
    </cfRule>
  </conditionalFormatting>
  <conditionalFormatting sqref="AP99:AP147 AP78 AP81 AP84:AP97">
    <cfRule type="containsText" dxfId="1214" priority="78" operator="containsText" text="ложь">
      <formula>NOT(ISERROR(SEARCH("ложь",AP78)))</formula>
    </cfRule>
  </conditionalFormatting>
  <conditionalFormatting sqref="AP148:AP156">
    <cfRule type="containsText" dxfId="1213" priority="77" operator="containsText" text="ложь">
      <formula>NOT(ISERROR(SEARCH("ложь",AP148)))</formula>
    </cfRule>
  </conditionalFormatting>
  <conditionalFormatting sqref="AP8 AP11:AP13 AP42:AP43 AP39:AP40 AP36:AP37 AP33:AP34 AP30:AP31 AP18:AP19 AP15:AP16 AP25:AP26 AP28">
    <cfRule type="containsText" dxfId="1212" priority="76" operator="containsText" text="ложь">
      <formula>NOT(ISERROR(SEARCH("ложь",AP8)))</formula>
    </cfRule>
  </conditionalFormatting>
  <conditionalFormatting sqref="AP10">
    <cfRule type="containsText" dxfId="1211" priority="75" operator="containsText" text="ложь">
      <formula>NOT(ISERROR(SEARCH("ложь",AP10)))</formula>
    </cfRule>
  </conditionalFormatting>
  <conditionalFormatting sqref="AP14">
    <cfRule type="containsText" dxfId="1210" priority="74" operator="containsText" text="ложь">
      <formula>NOT(ISERROR(SEARCH("ложь",AP14)))</formula>
    </cfRule>
  </conditionalFormatting>
  <conditionalFormatting sqref="AP17">
    <cfRule type="containsText" dxfId="1209" priority="73" operator="containsText" text="ложь">
      <formula>NOT(ISERROR(SEARCH("ложь",AP17)))</formula>
    </cfRule>
  </conditionalFormatting>
  <conditionalFormatting sqref="AP20">
    <cfRule type="containsText" dxfId="1208" priority="72" operator="containsText" text="ложь">
      <formula>NOT(ISERROR(SEARCH("ложь",AP20)))</formula>
    </cfRule>
  </conditionalFormatting>
  <conditionalFormatting sqref="AP29">
    <cfRule type="containsText" dxfId="1207" priority="71" operator="containsText" text="ложь">
      <formula>NOT(ISERROR(SEARCH("ложь",AP29)))</formula>
    </cfRule>
  </conditionalFormatting>
  <conditionalFormatting sqref="AP32">
    <cfRule type="containsText" dxfId="1206" priority="70" operator="containsText" text="ложь">
      <formula>NOT(ISERROR(SEARCH("ложь",AP32)))</formula>
    </cfRule>
  </conditionalFormatting>
  <conditionalFormatting sqref="AP35">
    <cfRule type="containsText" dxfId="1205" priority="69" operator="containsText" text="ложь">
      <formula>NOT(ISERROR(SEARCH("ложь",AP35)))</formula>
    </cfRule>
  </conditionalFormatting>
  <conditionalFormatting sqref="AP38">
    <cfRule type="containsText" dxfId="1204" priority="68" operator="containsText" text="ложь">
      <formula>NOT(ISERROR(SEARCH("ложь",AP38)))</formula>
    </cfRule>
  </conditionalFormatting>
  <conditionalFormatting sqref="AP41">
    <cfRule type="containsText" dxfId="1203" priority="67" operator="containsText" text="ложь">
      <formula>NOT(ISERROR(SEARCH("ложь",AP41)))</formula>
    </cfRule>
  </conditionalFormatting>
  <conditionalFormatting sqref="AP44">
    <cfRule type="containsText" dxfId="1202" priority="66" operator="containsText" text="ложь">
      <formula>NOT(ISERROR(SEARCH("ложь",AP44)))</formula>
    </cfRule>
  </conditionalFormatting>
  <conditionalFormatting sqref="AP24">
    <cfRule type="containsText" dxfId="1201" priority="65" operator="containsText" text="ложь">
      <formula>NOT(ISERROR(SEARCH("ложь",AP24)))</formula>
    </cfRule>
  </conditionalFormatting>
  <conditionalFormatting sqref="AP23">
    <cfRule type="containsText" dxfId="1200" priority="64" operator="containsText" text="ложь">
      <formula>NOT(ISERROR(SEARCH("ложь",AP23)))</formula>
    </cfRule>
  </conditionalFormatting>
  <conditionalFormatting sqref="AP49">
    <cfRule type="containsText" dxfId="1199" priority="63" operator="containsText" text="ложь">
      <formula>NOT(ISERROR(SEARCH("ложь",AP49)))</formula>
    </cfRule>
  </conditionalFormatting>
  <conditionalFormatting sqref="AP47">
    <cfRule type="containsText" dxfId="1198" priority="62" operator="containsText" text="ложь">
      <formula>NOT(ISERROR(SEARCH("ложь",AP47)))</formula>
    </cfRule>
  </conditionalFormatting>
  <conditionalFormatting sqref="AP48">
    <cfRule type="containsText" dxfId="1197" priority="61" operator="containsText" text="ложь">
      <formula>NOT(ISERROR(SEARCH("ложь",AP48)))</formula>
    </cfRule>
  </conditionalFormatting>
  <conditionalFormatting sqref="AP98">
    <cfRule type="containsText" dxfId="1196" priority="60" operator="containsText" text="ложь">
      <formula>NOT(ISERROR(SEARCH("ложь",AP98)))</formula>
    </cfRule>
  </conditionalFormatting>
  <conditionalFormatting sqref="AP9">
    <cfRule type="containsText" dxfId="1195" priority="59" operator="containsText" text="ложь">
      <formula>NOT(ISERROR(SEARCH("ложь",AP9)))</formula>
    </cfRule>
  </conditionalFormatting>
  <conditionalFormatting sqref="AP27">
    <cfRule type="containsText" dxfId="1194" priority="58" operator="containsText" text="ложь">
      <formula>NOT(ISERROR(SEARCH("ложь",AP27)))</formula>
    </cfRule>
  </conditionalFormatting>
  <conditionalFormatting sqref="AP77">
    <cfRule type="containsText" dxfId="1193" priority="57" operator="containsText" text="ложь">
      <formula>NOT(ISERROR(SEARCH("ложь",AP77)))</formula>
    </cfRule>
  </conditionalFormatting>
  <conditionalFormatting sqref="AQ58">
    <cfRule type="containsText" dxfId="1192" priority="22" operator="containsText" text="ложь">
      <formula>NOT(ISERROR(SEARCH("ложь",AQ58)))</formula>
    </cfRule>
  </conditionalFormatting>
  <conditionalFormatting sqref="AR58:AT58">
    <cfRule type="containsText" dxfId="1191" priority="21" operator="containsText" text="ложь">
      <formula>NOT(ISERROR(SEARCH("ложь",AR58)))</formula>
    </cfRule>
  </conditionalFormatting>
  <conditionalFormatting sqref="D79:AB80">
    <cfRule type="containsText" dxfId="1190" priority="20" operator="containsText" text="ложь">
      <formula>NOT(ISERROR(SEARCH("ложь",D79)))</formula>
    </cfRule>
  </conditionalFormatting>
  <conditionalFormatting sqref="D82:AB83">
    <cfRule type="containsText" dxfId="1189" priority="19" operator="containsText" text="ложь">
      <formula>NOT(ISERROR(SEARCH("ложь",D82)))</formula>
    </cfRule>
  </conditionalFormatting>
  <conditionalFormatting sqref="D85:J86">
    <cfRule type="containsText" dxfId="1188" priority="18" operator="containsText" text="ложь">
      <formula>NOT(ISERROR(SEARCH("ложь",D85)))</formula>
    </cfRule>
  </conditionalFormatting>
  <conditionalFormatting sqref="D87:J88">
    <cfRule type="containsText" dxfId="1187" priority="17" operator="containsText" text="ложь">
      <formula>NOT(ISERROR(SEARCH("ложь",D87)))</formula>
    </cfRule>
  </conditionalFormatting>
  <conditionalFormatting sqref="D93:J93">
    <cfRule type="containsText" dxfId="1186" priority="16" operator="containsText" text="ложь">
      <formula>NOT(ISERROR(SEARCH("ложь",D93)))</formula>
    </cfRule>
  </conditionalFormatting>
  <conditionalFormatting sqref="L93:P93">
    <cfRule type="containsText" dxfId="1185" priority="15" operator="containsText" text="ложь">
      <formula>NOT(ISERROR(SEARCH("ложь",L93)))</formula>
    </cfRule>
  </conditionalFormatting>
  <conditionalFormatting sqref="R93:V93">
    <cfRule type="containsText" dxfId="1184" priority="14" operator="containsText" text="ложь">
      <formula>NOT(ISERROR(SEARCH("ложь",R93)))</formula>
    </cfRule>
  </conditionalFormatting>
  <conditionalFormatting sqref="X93:AB93">
    <cfRule type="containsText" dxfId="1183" priority="13" operator="containsText" text="ложь">
      <formula>NOT(ISERROR(SEARCH("ложь",X93)))</formula>
    </cfRule>
  </conditionalFormatting>
  <conditionalFormatting sqref="D98">
    <cfRule type="containsText" dxfId="1182" priority="12" operator="containsText" text="ложь">
      <formula>NOT(ISERROR(SEARCH("ложь",D98)))</formula>
    </cfRule>
  </conditionalFormatting>
  <conditionalFormatting sqref="F98:J98">
    <cfRule type="containsText" dxfId="1181" priority="11" operator="containsText" text="ложь">
      <formula>NOT(ISERROR(SEARCH("ложь",F98)))</formula>
    </cfRule>
  </conditionalFormatting>
  <conditionalFormatting sqref="L98:P98">
    <cfRule type="containsText" dxfId="1180" priority="10" operator="containsText" text="ложь">
      <formula>NOT(ISERROR(SEARCH("ложь",L98)))</formula>
    </cfRule>
  </conditionalFormatting>
  <conditionalFormatting sqref="R98:V98">
    <cfRule type="containsText" dxfId="1179" priority="9" operator="containsText" text="ложь">
      <formula>NOT(ISERROR(SEARCH("ложь",R98)))</formula>
    </cfRule>
  </conditionalFormatting>
  <conditionalFormatting sqref="X98:AB98">
    <cfRule type="containsText" dxfId="1178" priority="8" operator="containsText" text="ложь">
      <formula>NOT(ISERROR(SEARCH("ложь",X98)))</formula>
    </cfRule>
  </conditionalFormatting>
  <conditionalFormatting sqref="AE98">
    <cfRule type="containsText" dxfId="1177" priority="7" operator="containsText" text="ложь">
      <formula>NOT(ISERROR(SEARCH("ложь",AE98)))</formula>
    </cfRule>
  </conditionalFormatting>
  <conditionalFormatting sqref="AF98">
    <cfRule type="containsText" dxfId="1176" priority="6" operator="containsText" text="ложь">
      <formula>NOT(ISERROR(SEARCH("ложь",AF98)))</formula>
    </cfRule>
  </conditionalFormatting>
  <conditionalFormatting sqref="D105:D106">
    <cfRule type="containsText" dxfId="1175" priority="5" operator="containsText" text="ложь">
      <formula>NOT(ISERROR(SEARCH("ложь",D105)))</formula>
    </cfRule>
  </conditionalFormatting>
  <conditionalFormatting sqref="F105:J106">
    <cfRule type="containsText" dxfId="1174" priority="4" operator="containsText" text="ложь">
      <formula>NOT(ISERROR(SEARCH("ложь",F105)))</formula>
    </cfRule>
  </conditionalFormatting>
  <conditionalFormatting sqref="L105:P106">
    <cfRule type="containsText" dxfId="1173" priority="3" operator="containsText" text="ложь">
      <formula>NOT(ISERROR(SEARCH("ложь",L105)))</formula>
    </cfRule>
  </conditionalFormatting>
  <conditionalFormatting sqref="R105:V106">
    <cfRule type="containsText" dxfId="1172" priority="2" operator="containsText" text="ложь">
      <formula>NOT(ISERROR(SEARCH("ложь",R105)))</formula>
    </cfRule>
  </conditionalFormatting>
  <conditionalFormatting sqref="X105:AB106">
    <cfRule type="containsText" dxfId="1171" priority="1" operator="containsText" text="ложь">
      <formula>NOT(ISERROR(SEARCH("ложь",X105)))</formula>
    </cfRule>
  </conditionalFormatting>
  <hyperlinks>
    <hyperlink ref="A158" location="Contents!A1" display="Contents!A1" xr:uid="{00000000-0004-0000-0200-000000000000}"/>
  </hyperlinks>
  <pageMargins left="0.7" right="0.7" top="0.75" bottom="0.75" header="0.3" footer="0.3"/>
  <pageSetup paperSize="9"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U64"/>
  <sheetViews>
    <sheetView showGridLines="0" zoomScaleNormal="100" workbookViewId="0">
      <pane xSplit="2" ySplit="7" topLeftCell="C8" activePane="bottomRight" state="frozen"/>
      <selection activeCell="AC1" sqref="AC1:AC1048576"/>
      <selection pane="topRight" activeCell="AC1" sqref="AC1:AC1048576"/>
      <selection pane="bottomLeft" activeCell="AC1" sqref="AC1:AC1048576"/>
      <selection pane="bottomRight"/>
    </sheetView>
  </sheetViews>
  <sheetFormatPr defaultRowHeight="15" customHeight="1" outlineLevelCol="1" x14ac:dyDescent="0.25"/>
  <cols>
    <col min="1" max="1" width="75.7109375" customWidth="1"/>
    <col min="2" max="2" width="10.7109375" customWidth="1"/>
    <col min="3" max="3" width="0.85546875" style="17" customWidth="1"/>
    <col min="4" max="4" width="10.7109375" style="1" customWidth="1"/>
    <col min="5" max="5" width="0.85546875" style="16" customWidth="1"/>
    <col min="6" max="9" width="10.7109375" style="16" hidden="1" customWidth="1" outlineLevel="1"/>
    <col min="10" max="10" width="10.7109375" style="1" customWidth="1" collapsed="1"/>
    <col min="11" max="11" width="0.85546875" style="16" customWidth="1"/>
    <col min="12" max="15" width="10.7109375" style="1" hidden="1" customWidth="1" outlineLevel="1"/>
    <col min="16" max="16" width="10.7109375" customWidth="1" collapsed="1"/>
    <col min="17" max="17" width="0.85546875" style="224" customWidth="1"/>
    <col min="18" max="21" width="10.7109375" hidden="1" customWidth="1" outlineLevel="1"/>
    <col min="22" max="22" width="10.7109375" customWidth="1" collapsed="1"/>
    <col min="23" max="23" width="0.85546875" style="224" customWidth="1"/>
    <col min="24" max="27" width="10.7109375" hidden="1" customWidth="1" outlineLevel="1"/>
    <col min="28" max="28" width="10.7109375" customWidth="1" collapsed="1"/>
    <col min="29" max="29" width="0.85546875" style="224" customWidth="1"/>
    <col min="30" max="33" width="10.7109375" hidden="1" customWidth="1" outlineLevel="1"/>
    <col min="34" max="34" width="10.7109375" customWidth="1" collapsed="1"/>
    <col min="35" max="35" width="0.85546875" style="224" customWidth="1"/>
    <col min="36" max="39" width="10.7109375" hidden="1" customWidth="1" outlineLevel="1"/>
    <col min="40" max="40" width="10.7109375" customWidth="1" collapsed="1"/>
    <col min="41" max="41" width="0.85546875" style="224" customWidth="1"/>
    <col min="42" max="45" width="10.7109375" customWidth="1"/>
  </cols>
  <sheetData>
    <row r="1" spans="1:47" s="224" customFormat="1" ht="15" customHeight="1" x14ac:dyDescent="0.25">
      <c r="C1" s="17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7" ht="15" customHeight="1" x14ac:dyDescent="0.3">
      <c r="A2" s="335" t="str">
        <f>IF(Contents!$A$1=2,"CONSOLIDATED STATEMENT OF CASH FLOW","КОНСОЛИДИРОВАННЫЙ ОТЧЕТ О ДВИЖЕНИИ ДЕНЕЖНЫХ СРЕДСТВ")</f>
        <v>КОНСОЛИДИРОВАННЫЙ ОТЧЕТ О ДВИЖЕНИИ ДЕНЕЖНЫХ СРЕДСТВ</v>
      </c>
      <c r="B2" s="133"/>
      <c r="C2" s="6"/>
    </row>
    <row r="3" spans="1:47" ht="15" customHeight="1" thickBot="1" x14ac:dyDescent="0.3">
      <c r="A3" s="132"/>
      <c r="B3" s="132"/>
      <c r="C3" s="29"/>
      <c r="D3" s="26"/>
      <c r="E3" s="27"/>
      <c r="F3" s="27"/>
      <c r="G3" s="27"/>
      <c r="H3" s="27"/>
      <c r="I3" s="27"/>
      <c r="J3" s="26"/>
      <c r="K3" s="27"/>
      <c r="L3" s="26"/>
      <c r="M3" s="26"/>
      <c r="N3" s="26"/>
      <c r="O3" s="26"/>
      <c r="P3" s="26"/>
      <c r="Q3" s="27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</row>
    <row r="4" spans="1:47" ht="15" customHeight="1" thickTop="1" x14ac:dyDescent="0.25"/>
    <row r="5" spans="1:47" s="25" customFormat="1" ht="15" customHeight="1" x14ac:dyDescent="0.3">
      <c r="A5" s="39" t="str">
        <f>IF(Contents!$A$1=2,"Consolidated Statement of Cash Flows","Консолидированный отчет о движении денежных средств")</f>
        <v>Консолидированный отчет о движении денежных средств</v>
      </c>
      <c r="B5" s="39"/>
      <c r="C5" s="30"/>
      <c r="E5" s="30"/>
      <c r="F5" s="30"/>
      <c r="G5" s="30"/>
      <c r="H5" s="30"/>
      <c r="I5" s="30"/>
      <c r="K5" s="30"/>
      <c r="Q5" s="232"/>
      <c r="W5" s="232"/>
      <c r="AC5" s="232"/>
      <c r="AI5" s="232"/>
      <c r="AO5" s="232"/>
      <c r="AU5"/>
    </row>
    <row r="6" spans="1:47" ht="15" customHeight="1" x14ac:dyDescent="0.25">
      <c r="A6" s="38"/>
      <c r="B6" s="38"/>
      <c r="O6" s="19"/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</row>
    <row r="7" spans="1:47" s="1" customFormat="1" ht="15" customHeight="1" x14ac:dyDescent="0.2">
      <c r="A7" s="75"/>
      <c r="B7" s="134"/>
      <c r="C7" s="16"/>
      <c r="D7" s="329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29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29">
        <v>2016</v>
      </c>
      <c r="Q7" s="330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29">
        <v>2017</v>
      </c>
      <c r="W7" s="330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29">
        <v>2018</v>
      </c>
      <c r="AC7" s="330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29">
        <v>2019</v>
      </c>
      <c r="AI7" s="330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29">
        <v>2020</v>
      </c>
      <c r="AO7" s="330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29">
        <v>2021</v>
      </c>
    </row>
    <row r="8" spans="1:47" s="1" customFormat="1" ht="15" customHeight="1" x14ac:dyDescent="0.2">
      <c r="A8" s="99" t="str">
        <f>IF(Contents!$A$1=2,"Cash flows from operating activities","Движение денежных средств от операционной деятельности")</f>
        <v>Движение денежных средств от операционной деятельности</v>
      </c>
      <c r="B8" s="191"/>
      <c r="C8" s="79"/>
      <c r="D8" s="191"/>
      <c r="E8" s="150"/>
      <c r="F8" s="150"/>
      <c r="G8" s="150"/>
      <c r="H8" s="150"/>
      <c r="I8" s="150"/>
      <c r="J8" s="191"/>
      <c r="K8" s="150"/>
      <c r="L8" s="189"/>
      <c r="M8" s="189"/>
      <c r="N8" s="189"/>
      <c r="O8" s="189"/>
      <c r="P8" s="191"/>
      <c r="Q8" s="150"/>
      <c r="R8" s="189"/>
      <c r="S8" s="189"/>
      <c r="T8" s="189"/>
      <c r="U8" s="189"/>
      <c r="V8" s="191"/>
      <c r="W8" s="150"/>
      <c r="X8" s="189"/>
      <c r="Y8" s="189"/>
      <c r="Z8" s="189"/>
      <c r="AA8" s="189"/>
      <c r="AB8" s="417"/>
      <c r="AC8" s="150"/>
      <c r="AD8" s="189"/>
      <c r="AE8" s="189"/>
      <c r="AF8" s="189"/>
      <c r="AG8" s="189"/>
      <c r="AH8" s="191"/>
      <c r="AI8" s="150"/>
      <c r="AJ8" s="417"/>
      <c r="AK8" s="417"/>
      <c r="AL8" s="417"/>
      <c r="AM8" s="417"/>
      <c r="AN8" s="417"/>
      <c r="AO8" s="152"/>
      <c r="AP8" s="417"/>
      <c r="AQ8" s="417"/>
      <c r="AR8" s="417"/>
      <c r="AS8" s="189"/>
      <c r="AT8" s="189"/>
    </row>
    <row r="9" spans="1:47" s="1" customFormat="1" ht="15" customHeight="1" x14ac:dyDescent="0.2">
      <c r="A9" s="90" t="str">
        <f>IF(Contents!$A$1=2,"(Loss) profit for the period attributable to PJSC LUKOIL shareholders","Чистая прибыль (убыток), относящаяся к акционерам ПАО «ЛУКОЙЛ»")</f>
        <v>Чистая прибыль (убыток), относящаяся к акционерам ПАО «ЛУКОЙЛ»</v>
      </c>
      <c r="B9" s="270" t="str">
        <f>IF(Contents!$A$1=2,"mln RUB","млн руб.")</f>
        <v>млн руб.</v>
      </c>
      <c r="C9" s="82"/>
      <c r="D9" s="420">
        <v>395525</v>
      </c>
      <c r="E9" s="426"/>
      <c r="F9" s="420">
        <v>104031</v>
      </c>
      <c r="G9" s="420">
        <v>63748</v>
      </c>
      <c r="H9" s="420">
        <v>188393</v>
      </c>
      <c r="I9" s="420">
        <v>-65037</v>
      </c>
      <c r="J9" s="420">
        <v>291135</v>
      </c>
      <c r="K9" s="426"/>
      <c r="L9" s="420">
        <v>42825</v>
      </c>
      <c r="M9" s="420">
        <v>62567</v>
      </c>
      <c r="N9" s="420">
        <v>54803</v>
      </c>
      <c r="O9" s="420">
        <v>46599</v>
      </c>
      <c r="P9" s="420">
        <v>206794</v>
      </c>
      <c r="Q9" s="426"/>
      <c r="R9" s="420">
        <v>62306</v>
      </c>
      <c r="S9" s="420">
        <v>138648</v>
      </c>
      <c r="T9" s="420">
        <v>97341</v>
      </c>
      <c r="U9" s="420">
        <v>120510</v>
      </c>
      <c r="V9" s="420">
        <v>418805</v>
      </c>
      <c r="W9" s="426"/>
      <c r="X9" s="420">
        <v>109058</v>
      </c>
      <c r="Y9" s="420">
        <v>167322</v>
      </c>
      <c r="Z9" s="420">
        <v>183767</v>
      </c>
      <c r="AA9" s="420">
        <v>159027</v>
      </c>
      <c r="AB9" s="420">
        <v>619174</v>
      </c>
      <c r="AC9" s="426"/>
      <c r="AD9" s="420">
        <v>149236</v>
      </c>
      <c r="AE9" s="420">
        <v>181245</v>
      </c>
      <c r="AF9" s="420">
        <v>190387</v>
      </c>
      <c r="AG9" s="420">
        <v>119310</v>
      </c>
      <c r="AH9" s="420">
        <v>640178</v>
      </c>
      <c r="AI9" s="426"/>
      <c r="AJ9" s="420">
        <v>-45960</v>
      </c>
      <c r="AK9" s="420">
        <v>-18720</v>
      </c>
      <c r="AL9" s="420">
        <v>50420</v>
      </c>
      <c r="AM9" s="420">
        <v>29435</v>
      </c>
      <c r="AN9" s="420">
        <v>15175</v>
      </c>
      <c r="AO9" s="426"/>
      <c r="AP9" s="420">
        <v>157427</v>
      </c>
      <c r="AQ9" s="420">
        <v>189750</v>
      </c>
      <c r="AR9" s="420">
        <v>192475</v>
      </c>
      <c r="AS9" s="420">
        <v>233790</v>
      </c>
      <c r="AT9" s="420">
        <v>773442</v>
      </c>
    </row>
    <row r="10" spans="1:47" s="1" customFormat="1" ht="15" customHeight="1" x14ac:dyDescent="0.2">
      <c r="A10" s="100" t="str">
        <f>IF(Contents!$A$1=2,"Adjustments for non-cash items:","Корректировки по неденежным статьям:")</f>
        <v>Корректировки по неденежным статьям:</v>
      </c>
      <c r="B10" s="271"/>
      <c r="C10" s="135"/>
      <c r="D10" s="417"/>
      <c r="E10" s="418"/>
      <c r="F10" s="417"/>
      <c r="G10" s="417"/>
      <c r="H10" s="417"/>
      <c r="I10" s="417"/>
      <c r="J10" s="417"/>
      <c r="K10" s="418"/>
      <c r="L10" s="417"/>
      <c r="M10" s="417"/>
      <c r="N10" s="417"/>
      <c r="O10" s="417"/>
      <c r="P10" s="417"/>
      <c r="Q10" s="418"/>
      <c r="R10" s="417"/>
      <c r="S10" s="417"/>
      <c r="T10" s="417"/>
      <c r="U10" s="417"/>
      <c r="V10" s="417"/>
      <c r="W10" s="418"/>
      <c r="X10" s="417"/>
      <c r="Y10" s="417"/>
      <c r="Z10" s="417"/>
      <c r="AA10" s="417"/>
      <c r="AB10" s="417"/>
      <c r="AC10" s="418"/>
      <c r="AD10" s="417"/>
      <c r="AE10" s="417"/>
      <c r="AF10" s="417"/>
      <c r="AG10" s="417"/>
      <c r="AH10" s="417"/>
      <c r="AI10" s="418"/>
      <c r="AJ10" s="417"/>
      <c r="AK10" s="417"/>
      <c r="AL10" s="417"/>
      <c r="AM10" s="417"/>
      <c r="AN10" s="417"/>
      <c r="AO10" s="418"/>
      <c r="AP10" s="417"/>
      <c r="AQ10" s="417"/>
      <c r="AR10" s="417"/>
      <c r="AS10" s="417"/>
      <c r="AT10" s="417"/>
    </row>
    <row r="11" spans="1:47" s="1" customFormat="1" ht="15" customHeight="1" x14ac:dyDescent="0.2">
      <c r="A11" s="125" t="str">
        <f>IF(Contents!$A$1=2,"Depreciation, depletion and amortization","Износ и амортизация")</f>
        <v>Износ и амортизация</v>
      </c>
      <c r="B11" s="271" t="str">
        <f>IF(Contents!$A$1=2,"mln RUB","млн руб.")</f>
        <v>млн руб.</v>
      </c>
      <c r="C11" s="123"/>
      <c r="D11" s="417">
        <v>293052</v>
      </c>
      <c r="E11" s="418"/>
      <c r="F11" s="417">
        <v>78463</v>
      </c>
      <c r="G11" s="417">
        <v>87058</v>
      </c>
      <c r="H11" s="417">
        <v>100061</v>
      </c>
      <c r="I11" s="417">
        <v>85394</v>
      </c>
      <c r="J11" s="417">
        <v>350976</v>
      </c>
      <c r="K11" s="418"/>
      <c r="L11" s="417">
        <v>84348</v>
      </c>
      <c r="M11" s="417">
        <v>71608</v>
      </c>
      <c r="N11" s="417">
        <v>74790</v>
      </c>
      <c r="O11" s="417">
        <v>80842</v>
      </c>
      <c r="P11" s="417">
        <v>311588</v>
      </c>
      <c r="Q11" s="418"/>
      <c r="R11" s="417">
        <v>80774</v>
      </c>
      <c r="S11" s="417">
        <v>84162</v>
      </c>
      <c r="T11" s="417">
        <v>83920</v>
      </c>
      <c r="U11" s="417">
        <v>76198</v>
      </c>
      <c r="V11" s="417">
        <v>325054</v>
      </c>
      <c r="W11" s="418"/>
      <c r="X11" s="417">
        <v>87690</v>
      </c>
      <c r="Y11" s="417">
        <v>97593</v>
      </c>
      <c r="Z11" s="417">
        <v>105900</v>
      </c>
      <c r="AA11" s="417">
        <v>51902</v>
      </c>
      <c r="AB11" s="417">
        <v>343085</v>
      </c>
      <c r="AC11" s="418"/>
      <c r="AD11" s="417">
        <v>103830</v>
      </c>
      <c r="AE11" s="417">
        <v>105730</v>
      </c>
      <c r="AF11" s="417">
        <v>104504</v>
      </c>
      <c r="AG11" s="417">
        <v>101030</v>
      </c>
      <c r="AH11" s="417">
        <v>415094</v>
      </c>
      <c r="AI11" s="418"/>
      <c r="AJ11" s="417">
        <v>110718</v>
      </c>
      <c r="AK11" s="417">
        <v>100725</v>
      </c>
      <c r="AL11" s="417">
        <v>103439</v>
      </c>
      <c r="AM11" s="417">
        <v>90558</v>
      </c>
      <c r="AN11" s="417">
        <v>405440</v>
      </c>
      <c r="AO11" s="418"/>
      <c r="AP11" s="417">
        <v>113714</v>
      </c>
      <c r="AQ11" s="417">
        <v>106514</v>
      </c>
      <c r="AR11" s="417">
        <v>107403</v>
      </c>
      <c r="AS11" s="417">
        <v>97835</v>
      </c>
      <c r="AT11" s="417">
        <v>425466</v>
      </c>
    </row>
    <row r="12" spans="1:47" s="1" customFormat="1" ht="15" customHeight="1" x14ac:dyDescent="0.2">
      <c r="A12" s="123" t="str">
        <f>IF(Contents!$A$1=2,"Equity share in income of associates and joint ventures","Доля в прибыли ассоциированных организаций и совместных предприятий")</f>
        <v>Доля в прибыли ассоциированных организаций и совместных предприятий</v>
      </c>
      <c r="B12" s="271" t="str">
        <f>IF(Contents!$A$1=2,"mln RUB","млн руб.")</f>
        <v>млн руб.</v>
      </c>
      <c r="C12" s="123"/>
      <c r="D12" s="417">
        <v>-6940</v>
      </c>
      <c r="E12" s="418"/>
      <c r="F12" s="417">
        <v>-3575</v>
      </c>
      <c r="G12" s="417">
        <v>3640</v>
      </c>
      <c r="H12" s="417">
        <v>503</v>
      </c>
      <c r="I12" s="417">
        <v>2112</v>
      </c>
      <c r="J12" s="417">
        <v>2680</v>
      </c>
      <c r="K12" s="418"/>
      <c r="L12" s="417">
        <v>-1062</v>
      </c>
      <c r="M12" s="417">
        <v>-2777</v>
      </c>
      <c r="N12" s="417">
        <v>921</v>
      </c>
      <c r="O12" s="417">
        <v>-1122</v>
      </c>
      <c r="P12" s="417">
        <v>-4040</v>
      </c>
      <c r="Q12" s="418"/>
      <c r="R12" s="417">
        <v>-2396</v>
      </c>
      <c r="S12" s="417">
        <v>-2256</v>
      </c>
      <c r="T12" s="417">
        <v>-3128</v>
      </c>
      <c r="U12" s="417">
        <v>379</v>
      </c>
      <c r="V12" s="417">
        <v>-7401</v>
      </c>
      <c r="W12" s="418"/>
      <c r="X12" s="417">
        <v>-4270</v>
      </c>
      <c r="Y12" s="417">
        <v>-3401</v>
      </c>
      <c r="Z12" s="417">
        <v>-4389</v>
      </c>
      <c r="AA12" s="417">
        <v>-5896</v>
      </c>
      <c r="AB12" s="417">
        <v>-17956</v>
      </c>
      <c r="AC12" s="418"/>
      <c r="AD12" s="417">
        <v>-5801</v>
      </c>
      <c r="AE12" s="417">
        <v>-2294</v>
      </c>
      <c r="AF12" s="417">
        <v>-3699</v>
      </c>
      <c r="AG12" s="417">
        <v>407</v>
      </c>
      <c r="AH12" s="417">
        <v>-11387</v>
      </c>
      <c r="AI12" s="418"/>
      <c r="AJ12" s="417">
        <v>-4431</v>
      </c>
      <c r="AK12" s="417">
        <v>3</v>
      </c>
      <c r="AL12" s="417">
        <v>-4029</v>
      </c>
      <c r="AM12" s="417">
        <v>-3017</v>
      </c>
      <c r="AN12" s="417">
        <v>-11474</v>
      </c>
      <c r="AO12" s="418"/>
      <c r="AP12" s="417">
        <v>-6488</v>
      </c>
      <c r="AQ12" s="417">
        <v>-6624</v>
      </c>
      <c r="AR12" s="417">
        <v>-6722</v>
      </c>
      <c r="AS12" s="417">
        <v>-10146</v>
      </c>
      <c r="AT12" s="417">
        <v>-29980</v>
      </c>
    </row>
    <row r="13" spans="1:47" s="1" customFormat="1" ht="15" customHeight="1" x14ac:dyDescent="0.2">
      <c r="A13" s="125" t="str">
        <f>IF(Contents!$A$1=2,"Dry hole write-offs","Списание затрат по сухим скважинам")</f>
        <v>Списание затрат по сухим скважинам</v>
      </c>
      <c r="B13" s="271" t="str">
        <f>IF(Contents!$A$1=2,"mln RUB","млн руб.")</f>
        <v>млн руб.</v>
      </c>
      <c r="C13" s="123"/>
      <c r="D13" s="417">
        <v>10055</v>
      </c>
      <c r="E13" s="418"/>
      <c r="F13" s="417">
        <v>515</v>
      </c>
      <c r="G13" s="417">
        <v>13153</v>
      </c>
      <c r="H13" s="417">
        <v>8209</v>
      </c>
      <c r="I13" s="417">
        <v>3570</v>
      </c>
      <c r="J13" s="417">
        <v>25447</v>
      </c>
      <c r="K13" s="418"/>
      <c r="L13" s="417">
        <v>166</v>
      </c>
      <c r="M13" s="417">
        <v>356</v>
      </c>
      <c r="N13" s="417">
        <v>109</v>
      </c>
      <c r="O13" s="417">
        <v>1355</v>
      </c>
      <c r="P13" s="417">
        <v>1986</v>
      </c>
      <c r="Q13" s="418"/>
      <c r="R13" s="417">
        <v>4</v>
      </c>
      <c r="S13" s="417">
        <v>4</v>
      </c>
      <c r="T13" s="417">
        <v>-1</v>
      </c>
      <c r="U13" s="417">
        <v>9438</v>
      </c>
      <c r="V13" s="417">
        <v>9445</v>
      </c>
      <c r="W13" s="418"/>
      <c r="X13" s="417">
        <v>6</v>
      </c>
      <c r="Y13" s="417">
        <v>318</v>
      </c>
      <c r="Z13" s="417">
        <v>536</v>
      </c>
      <c r="AA13" s="417">
        <v>807</v>
      </c>
      <c r="AB13" s="417">
        <v>1667</v>
      </c>
      <c r="AC13" s="418"/>
      <c r="AD13" s="417">
        <v>512</v>
      </c>
      <c r="AE13" s="417">
        <v>288</v>
      </c>
      <c r="AF13" s="417">
        <v>285</v>
      </c>
      <c r="AG13" s="417">
        <v>6609</v>
      </c>
      <c r="AH13" s="417">
        <v>7694</v>
      </c>
      <c r="AI13" s="418"/>
      <c r="AJ13" s="417">
        <v>14</v>
      </c>
      <c r="AK13" s="417">
        <v>2262</v>
      </c>
      <c r="AL13" s="417">
        <v>35</v>
      </c>
      <c r="AM13" s="417">
        <v>2114</v>
      </c>
      <c r="AN13" s="417">
        <v>4425</v>
      </c>
      <c r="AO13" s="418"/>
      <c r="AP13" s="417">
        <v>16</v>
      </c>
      <c r="AQ13" s="417">
        <v>1043</v>
      </c>
      <c r="AR13" s="417">
        <v>794</v>
      </c>
      <c r="AS13" s="417">
        <v>3635</v>
      </c>
      <c r="AT13" s="417">
        <v>5488</v>
      </c>
    </row>
    <row r="14" spans="1:47" s="1" customFormat="1" ht="15" customHeight="1" x14ac:dyDescent="0.2">
      <c r="A14" s="123" t="str">
        <f>IF(Contents!$A$1=2,"(Gain) loss on disposals and impairments of assets","(Прибыль) убыток от выбытия и обесценения активов")</f>
        <v>(Прибыль) убыток от выбытия и обесценения активов</v>
      </c>
      <c r="B14" s="271" t="str">
        <f>IF(Contents!$A$1=2,"mln RUB","млн руб.")</f>
        <v>млн руб.</v>
      </c>
      <c r="C14" s="123"/>
      <c r="D14" s="417">
        <v>91341</v>
      </c>
      <c r="E14" s="418"/>
      <c r="F14" s="417">
        <v>168</v>
      </c>
      <c r="G14" s="417">
        <v>8083</v>
      </c>
      <c r="H14" s="417">
        <v>-35717</v>
      </c>
      <c r="I14" s="417">
        <v>194761</v>
      </c>
      <c r="J14" s="417">
        <v>167295</v>
      </c>
      <c r="K14" s="418"/>
      <c r="L14" s="417">
        <v>1713</v>
      </c>
      <c r="M14" s="417">
        <v>3005</v>
      </c>
      <c r="N14" s="417">
        <v>365</v>
      </c>
      <c r="O14" s="417">
        <v>1948</v>
      </c>
      <c r="P14" s="417">
        <v>7031</v>
      </c>
      <c r="Q14" s="418"/>
      <c r="R14" s="417">
        <v>3265</v>
      </c>
      <c r="S14" s="417">
        <v>-46760</v>
      </c>
      <c r="T14" s="417">
        <v>2008</v>
      </c>
      <c r="U14" s="417">
        <v>2136</v>
      </c>
      <c r="V14" s="417">
        <v>-39351</v>
      </c>
      <c r="W14" s="418"/>
      <c r="X14" s="417">
        <v>1620</v>
      </c>
      <c r="Y14" s="417">
        <v>9280</v>
      </c>
      <c r="Z14" s="417">
        <v>3267</v>
      </c>
      <c r="AA14" s="417">
        <v>11894</v>
      </c>
      <c r="AB14" s="417">
        <v>26061</v>
      </c>
      <c r="AC14" s="418"/>
      <c r="AD14" s="417">
        <v>1560</v>
      </c>
      <c r="AE14" s="417">
        <v>2804</v>
      </c>
      <c r="AF14" s="417">
        <v>-7699</v>
      </c>
      <c r="AG14" s="417">
        <v>20310</v>
      </c>
      <c r="AH14" s="417">
        <v>16975</v>
      </c>
      <c r="AI14" s="418"/>
      <c r="AJ14" s="417">
        <v>45861</v>
      </c>
      <c r="AK14" s="417">
        <v>41902</v>
      </c>
      <c r="AL14" s="417">
        <v>-1373</v>
      </c>
      <c r="AM14" s="417">
        <v>39145</v>
      </c>
      <c r="AN14" s="417">
        <v>125535</v>
      </c>
      <c r="AO14" s="418"/>
      <c r="AP14" s="417">
        <v>1426</v>
      </c>
      <c r="AQ14" s="417">
        <v>1277</v>
      </c>
      <c r="AR14" s="417">
        <v>2457</v>
      </c>
      <c r="AS14" s="417">
        <v>13895</v>
      </c>
      <c r="AT14" s="417">
        <v>19055</v>
      </c>
    </row>
    <row r="15" spans="1:47" s="1" customFormat="1" ht="15" customHeight="1" x14ac:dyDescent="0.2">
      <c r="A15" s="125" t="str">
        <f>IF(Contents!$A$1=2,"Income tax expense","Налог на прибыль")</f>
        <v>Налог на прибыль</v>
      </c>
      <c r="B15" s="271" t="str">
        <f>IF(Contents!$A$1=2,"mln RUB","млн руб.")</f>
        <v>млн руб.</v>
      </c>
      <c r="C15" s="123"/>
      <c r="D15" s="417">
        <v>90779</v>
      </c>
      <c r="E15" s="418"/>
      <c r="F15" s="417">
        <v>24873</v>
      </c>
      <c r="G15" s="417">
        <v>18819</v>
      </c>
      <c r="H15" s="417">
        <v>39351</v>
      </c>
      <c r="I15" s="417">
        <v>13316</v>
      </c>
      <c r="J15" s="417">
        <v>96359</v>
      </c>
      <c r="K15" s="418"/>
      <c r="L15" s="417">
        <v>11766</v>
      </c>
      <c r="M15" s="417">
        <v>17957</v>
      </c>
      <c r="N15" s="417">
        <v>20689</v>
      </c>
      <c r="O15" s="417">
        <v>14461</v>
      </c>
      <c r="P15" s="417">
        <v>64873</v>
      </c>
      <c r="Q15" s="418"/>
      <c r="R15" s="417">
        <v>15765</v>
      </c>
      <c r="S15" s="417">
        <v>31992</v>
      </c>
      <c r="T15" s="417">
        <v>30584</v>
      </c>
      <c r="U15" s="417">
        <v>25421</v>
      </c>
      <c r="V15" s="417">
        <v>103762</v>
      </c>
      <c r="W15" s="418"/>
      <c r="X15" s="417">
        <v>23117</v>
      </c>
      <c r="Y15" s="417">
        <v>43868</v>
      </c>
      <c r="Z15" s="417">
        <v>43888</v>
      </c>
      <c r="AA15" s="417">
        <v>41044</v>
      </c>
      <c r="AB15" s="417">
        <v>151917</v>
      </c>
      <c r="AC15" s="418"/>
      <c r="AD15" s="417">
        <v>42796</v>
      </c>
      <c r="AE15" s="417">
        <v>41927</v>
      </c>
      <c r="AF15" s="417">
        <v>35881</v>
      </c>
      <c r="AG15" s="417">
        <v>30529</v>
      </c>
      <c r="AH15" s="417">
        <v>151133</v>
      </c>
      <c r="AI15" s="418"/>
      <c r="AJ15" s="417">
        <v>23378</v>
      </c>
      <c r="AK15" s="417">
        <v>12664</v>
      </c>
      <c r="AL15" s="417">
        <v>15256</v>
      </c>
      <c r="AM15" s="417">
        <v>30856</v>
      </c>
      <c r="AN15" s="417">
        <v>82154</v>
      </c>
      <c r="AO15" s="418"/>
      <c r="AP15" s="417">
        <v>41012</v>
      </c>
      <c r="AQ15" s="417">
        <v>39594</v>
      </c>
      <c r="AR15" s="417">
        <v>49049</v>
      </c>
      <c r="AS15" s="417">
        <v>61796</v>
      </c>
      <c r="AT15" s="417">
        <v>191451</v>
      </c>
    </row>
    <row r="16" spans="1:47" s="1" customFormat="1" ht="15" customHeight="1" x14ac:dyDescent="0.2">
      <c r="A16" s="125" t="str">
        <f>IF(Contents!$A$1=2,"Non-cash foreign exchange (gain) loss","Неденежный убыток (неденежная прибыль) по курсовым разницам")</f>
        <v>Неденежный убыток (неденежная прибыль) по курсовым разницам</v>
      </c>
      <c r="B16" s="271" t="str">
        <f>IF(Contents!$A$1=2,"mln RUB","млн руб.")</f>
        <v>млн руб.</v>
      </c>
      <c r="C16" s="123"/>
      <c r="D16" s="417">
        <v>-157684</v>
      </c>
      <c r="E16" s="418"/>
      <c r="F16" s="417">
        <v>-5649</v>
      </c>
      <c r="G16" s="417">
        <v>26860</v>
      </c>
      <c r="H16" s="417">
        <v>-85285</v>
      </c>
      <c r="I16" s="417">
        <v>-58881</v>
      </c>
      <c r="J16" s="417">
        <v>-122955</v>
      </c>
      <c r="K16" s="418"/>
      <c r="L16" s="417">
        <v>44809</v>
      </c>
      <c r="M16" s="417">
        <v>25697</v>
      </c>
      <c r="N16" s="417">
        <v>9695</v>
      </c>
      <c r="O16" s="417">
        <v>26404</v>
      </c>
      <c r="P16" s="417">
        <v>106605</v>
      </c>
      <c r="Q16" s="418"/>
      <c r="R16" s="417">
        <v>41962</v>
      </c>
      <c r="S16" s="417">
        <v>-25333</v>
      </c>
      <c r="T16" s="417">
        <v>9319</v>
      </c>
      <c r="U16" s="417">
        <v>-5031</v>
      </c>
      <c r="V16" s="417">
        <v>20917</v>
      </c>
      <c r="W16" s="418"/>
      <c r="X16" s="417">
        <v>2323</v>
      </c>
      <c r="Y16" s="417">
        <v>-23030</v>
      </c>
      <c r="Z16" s="417">
        <v>-11691</v>
      </c>
      <c r="AA16" s="417">
        <v>-643</v>
      </c>
      <c r="AB16" s="417">
        <v>-33041</v>
      </c>
      <c r="AC16" s="418"/>
      <c r="AD16" s="417">
        <v>-1667</v>
      </c>
      <c r="AE16" s="417">
        <v>-4779</v>
      </c>
      <c r="AF16" s="417">
        <v>5462</v>
      </c>
      <c r="AG16" s="417">
        <v>-136</v>
      </c>
      <c r="AH16" s="417">
        <v>-1120</v>
      </c>
      <c r="AI16" s="418"/>
      <c r="AJ16" s="417">
        <v>14114</v>
      </c>
      <c r="AK16" s="417">
        <v>-4656</v>
      </c>
      <c r="AL16" s="417">
        <v>29046</v>
      </c>
      <c r="AM16" s="417">
        <v>-12467</v>
      </c>
      <c r="AN16" s="417">
        <v>26037</v>
      </c>
      <c r="AO16" s="418"/>
      <c r="AP16" s="417">
        <v>1199</v>
      </c>
      <c r="AQ16" s="417">
        <v>968</v>
      </c>
      <c r="AR16" s="417">
        <v>863</v>
      </c>
      <c r="AS16" s="417">
        <v>-5625</v>
      </c>
      <c r="AT16" s="417">
        <v>-2595</v>
      </c>
    </row>
    <row r="17" spans="1:46" s="1" customFormat="1" ht="15" customHeight="1" x14ac:dyDescent="0.2">
      <c r="A17" s="125" t="str">
        <f>IF(Contents!$A$1=2,"Non-cash investing activities","Неденежные операции в инвестиционной деятельности")</f>
        <v>Неденежные операции в инвестиционной деятельности</v>
      </c>
      <c r="B17" s="271" t="str">
        <f>IF(Contents!$A$1=2,"mln RUB","млн руб.")</f>
        <v>млн руб.</v>
      </c>
      <c r="C17" s="123"/>
      <c r="D17" s="417">
        <v>-1534</v>
      </c>
      <c r="E17" s="418"/>
      <c r="F17" s="417">
        <v>-2</v>
      </c>
      <c r="G17" s="417">
        <v>-159</v>
      </c>
      <c r="H17" s="417">
        <v>-4</v>
      </c>
      <c r="I17" s="417">
        <v>-169</v>
      </c>
      <c r="J17" s="417">
        <v>-334</v>
      </c>
      <c r="K17" s="418"/>
      <c r="L17" s="417">
        <v>-12</v>
      </c>
      <c r="M17" s="417">
        <v>-57</v>
      </c>
      <c r="N17" s="417">
        <v>-1</v>
      </c>
      <c r="O17" s="417">
        <v>-57</v>
      </c>
      <c r="P17" s="417">
        <v>-127</v>
      </c>
      <c r="Q17" s="418"/>
      <c r="R17" s="417">
        <v>43</v>
      </c>
      <c r="S17" s="417">
        <v>-17</v>
      </c>
      <c r="T17" s="417">
        <v>-26</v>
      </c>
      <c r="U17" s="417">
        <v>0</v>
      </c>
      <c r="V17" s="417">
        <v>0</v>
      </c>
      <c r="W17" s="418"/>
      <c r="X17" s="417">
        <v>0</v>
      </c>
      <c r="Y17" s="417">
        <v>0</v>
      </c>
      <c r="Z17" s="417">
        <v>0</v>
      </c>
      <c r="AA17" s="417">
        <v>0</v>
      </c>
      <c r="AB17" s="417">
        <v>0</v>
      </c>
      <c r="AC17" s="418"/>
      <c r="AD17" s="417">
        <v>0</v>
      </c>
      <c r="AE17" s="417">
        <v>0</v>
      </c>
      <c r="AF17" s="417">
        <v>0</v>
      </c>
      <c r="AG17" s="417">
        <v>0</v>
      </c>
      <c r="AH17" s="417">
        <v>0</v>
      </c>
      <c r="AI17" s="418"/>
      <c r="AJ17" s="417">
        <v>0</v>
      </c>
      <c r="AK17" s="417">
        <v>0</v>
      </c>
      <c r="AL17" s="417">
        <v>0</v>
      </c>
      <c r="AM17" s="417">
        <v>0</v>
      </c>
      <c r="AN17" s="417">
        <v>0</v>
      </c>
      <c r="AO17" s="418"/>
      <c r="AP17" s="417">
        <v>0</v>
      </c>
      <c r="AQ17" s="417">
        <v>0</v>
      </c>
      <c r="AR17" s="417">
        <v>0</v>
      </c>
      <c r="AS17" s="417">
        <v>0</v>
      </c>
      <c r="AT17" s="417">
        <v>0</v>
      </c>
    </row>
    <row r="18" spans="1:46" s="1" customFormat="1" ht="15" customHeight="1" x14ac:dyDescent="0.2">
      <c r="A18" s="125" t="str">
        <f>IF(Contents!$A$1=2,"Finance income","Финансовые доходы")</f>
        <v>Финансовые доходы</v>
      </c>
      <c r="B18" s="271" t="str">
        <f>IF(Contents!$A$1=2,"mln RUB","млн руб.")</f>
        <v>млн руб.</v>
      </c>
      <c r="C18" s="123"/>
      <c r="D18" s="417">
        <v>-10999</v>
      </c>
      <c r="E18" s="418"/>
      <c r="F18" s="417">
        <v>-4531</v>
      </c>
      <c r="G18" s="417">
        <v>-4036</v>
      </c>
      <c r="H18" s="417">
        <v>-4210</v>
      </c>
      <c r="I18" s="417">
        <v>-4986</v>
      </c>
      <c r="J18" s="417">
        <v>-17763</v>
      </c>
      <c r="K18" s="418"/>
      <c r="L18" s="417">
        <v>-3831</v>
      </c>
      <c r="M18" s="417">
        <v>-3511</v>
      </c>
      <c r="N18" s="417">
        <v>-3778</v>
      </c>
      <c r="O18" s="417">
        <v>-3636</v>
      </c>
      <c r="P18" s="417">
        <v>-14756</v>
      </c>
      <c r="Q18" s="418"/>
      <c r="R18" s="417">
        <v>-3299</v>
      </c>
      <c r="S18" s="417">
        <v>-3102</v>
      </c>
      <c r="T18" s="417">
        <v>-3261</v>
      </c>
      <c r="U18" s="417">
        <v>-5489</v>
      </c>
      <c r="V18" s="417">
        <v>-15151</v>
      </c>
      <c r="W18" s="418"/>
      <c r="X18" s="417">
        <v>-3514</v>
      </c>
      <c r="Y18" s="417">
        <v>-4648</v>
      </c>
      <c r="Z18" s="417">
        <v>-5132</v>
      </c>
      <c r="AA18" s="417">
        <v>-6236</v>
      </c>
      <c r="AB18" s="417">
        <v>-19530</v>
      </c>
      <c r="AC18" s="418"/>
      <c r="AD18" s="417">
        <v>-5984</v>
      </c>
      <c r="AE18" s="417">
        <v>-6075</v>
      </c>
      <c r="AF18" s="417">
        <v>-6944</v>
      </c>
      <c r="AG18" s="417">
        <v>-6131</v>
      </c>
      <c r="AH18" s="417">
        <v>-25134</v>
      </c>
      <c r="AI18" s="418"/>
      <c r="AJ18" s="417">
        <v>-4811</v>
      </c>
      <c r="AK18" s="417">
        <v>-2685</v>
      </c>
      <c r="AL18" s="417">
        <v>-3625</v>
      </c>
      <c r="AM18" s="417">
        <v>-1930</v>
      </c>
      <c r="AN18" s="417">
        <v>-13051</v>
      </c>
      <c r="AO18" s="418"/>
      <c r="AP18" s="417">
        <v>-2164</v>
      </c>
      <c r="AQ18" s="417">
        <v>-2701</v>
      </c>
      <c r="AR18" s="417">
        <v>-4641</v>
      </c>
      <c r="AS18" s="417">
        <v>-7013</v>
      </c>
      <c r="AT18" s="417">
        <v>-16519</v>
      </c>
    </row>
    <row r="19" spans="1:46" s="1" customFormat="1" ht="15" customHeight="1" x14ac:dyDescent="0.2">
      <c r="A19" s="125" t="str">
        <f>IF(Contents!$A$1=2,"Finance costs","Финансовые расходы")</f>
        <v>Финансовые расходы</v>
      </c>
      <c r="B19" s="271" t="str">
        <f>IF(Contents!$A$1=2,"mln RUB","млн руб.")</f>
        <v>млн руб.</v>
      </c>
      <c r="C19" s="123"/>
      <c r="D19" s="417">
        <v>29727</v>
      </c>
      <c r="E19" s="418"/>
      <c r="F19" s="417">
        <v>11460</v>
      </c>
      <c r="G19" s="417">
        <v>11026</v>
      </c>
      <c r="H19" s="417">
        <v>11667</v>
      </c>
      <c r="I19" s="417">
        <v>14071</v>
      </c>
      <c r="J19" s="417">
        <v>48224</v>
      </c>
      <c r="K19" s="418"/>
      <c r="L19" s="417">
        <v>10371</v>
      </c>
      <c r="M19" s="417">
        <v>11098</v>
      </c>
      <c r="N19" s="417">
        <v>11949</v>
      </c>
      <c r="O19" s="417">
        <v>13612</v>
      </c>
      <c r="P19" s="417">
        <v>47030</v>
      </c>
      <c r="Q19" s="418"/>
      <c r="R19" s="417">
        <v>9470</v>
      </c>
      <c r="S19" s="417">
        <v>6767</v>
      </c>
      <c r="T19" s="417">
        <v>5925</v>
      </c>
      <c r="U19" s="417">
        <v>5169</v>
      </c>
      <c r="V19" s="417">
        <v>27331</v>
      </c>
      <c r="W19" s="418"/>
      <c r="X19" s="417">
        <v>7322</v>
      </c>
      <c r="Y19" s="417">
        <v>8279</v>
      </c>
      <c r="Z19" s="417">
        <v>9955</v>
      </c>
      <c r="AA19" s="417">
        <v>12742</v>
      </c>
      <c r="AB19" s="417">
        <v>38298</v>
      </c>
      <c r="AC19" s="418"/>
      <c r="AD19" s="417">
        <v>11734</v>
      </c>
      <c r="AE19" s="417">
        <v>10976</v>
      </c>
      <c r="AF19" s="417">
        <v>10872</v>
      </c>
      <c r="AG19" s="417">
        <v>10774</v>
      </c>
      <c r="AH19" s="417">
        <v>44356</v>
      </c>
      <c r="AI19" s="418"/>
      <c r="AJ19" s="417">
        <v>10249</v>
      </c>
      <c r="AK19" s="417">
        <v>11323</v>
      </c>
      <c r="AL19" s="417">
        <v>11697</v>
      </c>
      <c r="AM19" s="417">
        <v>10853</v>
      </c>
      <c r="AN19" s="417">
        <v>44122</v>
      </c>
      <c r="AO19" s="418"/>
      <c r="AP19" s="417">
        <v>9351</v>
      </c>
      <c r="AQ19" s="417">
        <v>9289</v>
      </c>
      <c r="AR19" s="417">
        <v>9246</v>
      </c>
      <c r="AS19" s="417">
        <v>9682</v>
      </c>
      <c r="AT19" s="417">
        <v>37568</v>
      </c>
    </row>
    <row r="20" spans="1:46" s="1" customFormat="1" ht="15" customHeight="1" x14ac:dyDescent="0.2">
      <c r="A20" s="125" t="str">
        <f>IF(Contents!$A$1=2,"Allowance for expected credit losses","Резерв под ожидаемые кредитные убытки")</f>
        <v>Резерв под ожидаемые кредитные убытки</v>
      </c>
      <c r="B20" s="271" t="str">
        <f>IF(Contents!$A$1=2,"mln RUB","млн руб.")</f>
        <v>млн руб.</v>
      </c>
      <c r="C20" s="123"/>
      <c r="D20" s="417">
        <v>3977</v>
      </c>
      <c r="E20" s="418"/>
      <c r="F20" s="417">
        <v>217</v>
      </c>
      <c r="G20" s="417">
        <v>604</v>
      </c>
      <c r="H20" s="417">
        <v>1711</v>
      </c>
      <c r="I20" s="417">
        <v>1513</v>
      </c>
      <c r="J20" s="417">
        <v>4045</v>
      </c>
      <c r="K20" s="418"/>
      <c r="L20" s="417">
        <v>1716</v>
      </c>
      <c r="M20" s="417">
        <v>1197</v>
      </c>
      <c r="N20" s="456">
        <v>3849</v>
      </c>
      <c r="O20" s="417">
        <v>-361</v>
      </c>
      <c r="P20" s="417">
        <v>6401</v>
      </c>
      <c r="Q20" s="418"/>
      <c r="R20" s="417">
        <v>2825</v>
      </c>
      <c r="S20" s="417">
        <v>-46</v>
      </c>
      <c r="T20" s="417">
        <v>-155</v>
      </c>
      <c r="U20" s="417">
        <v>3515</v>
      </c>
      <c r="V20" s="417">
        <v>6139</v>
      </c>
      <c r="W20" s="418"/>
      <c r="X20" s="417">
        <v>948</v>
      </c>
      <c r="Y20" s="417">
        <v>-438</v>
      </c>
      <c r="Z20" s="417">
        <v>670</v>
      </c>
      <c r="AA20" s="417">
        <v>-2129</v>
      </c>
      <c r="AB20" s="417">
        <v>-949</v>
      </c>
      <c r="AC20" s="418"/>
      <c r="AD20" s="417">
        <v>4795</v>
      </c>
      <c r="AE20" s="417">
        <v>1621</v>
      </c>
      <c r="AF20" s="417">
        <v>-846</v>
      </c>
      <c r="AG20" s="417">
        <v>3770</v>
      </c>
      <c r="AH20" s="417">
        <v>9340</v>
      </c>
      <c r="AI20" s="418"/>
      <c r="AJ20" s="417">
        <v>1004.9999999999999</v>
      </c>
      <c r="AK20" s="417">
        <v>301.00000000000011</v>
      </c>
      <c r="AL20" s="417">
        <v>-2118</v>
      </c>
      <c r="AM20" s="417">
        <v>6623</v>
      </c>
      <c r="AN20" s="417">
        <v>5811</v>
      </c>
      <c r="AO20" s="418"/>
      <c r="AP20" s="417">
        <v>724</v>
      </c>
      <c r="AQ20" s="417">
        <v>675</v>
      </c>
      <c r="AR20" s="417">
        <v>5920</v>
      </c>
      <c r="AS20" s="417">
        <v>1772</v>
      </c>
      <c r="AT20" s="417">
        <v>9091</v>
      </c>
    </row>
    <row r="21" spans="1:46" s="206" customFormat="1" ht="15" customHeight="1" x14ac:dyDescent="0.2">
      <c r="A21" s="123" t="str">
        <f>IF(Contents!$A$1=2,"Equity-settled share-based compensation plan","Программа вознаграждения на основе акций с расчетами долевыми инструментами")</f>
        <v>Программа вознаграждения на основе акций с расчетами долевыми инструментами</v>
      </c>
      <c r="B21" s="271" t="str">
        <f>IF(Contents!$A$1=2,"mln RUB","млн руб.")</f>
        <v>млн руб.</v>
      </c>
      <c r="C21" s="123"/>
      <c r="D21" s="417">
        <v>0</v>
      </c>
      <c r="E21" s="418"/>
      <c r="F21" s="417">
        <v>0</v>
      </c>
      <c r="G21" s="417">
        <v>0</v>
      </c>
      <c r="H21" s="417">
        <v>0</v>
      </c>
      <c r="I21" s="417">
        <v>0</v>
      </c>
      <c r="J21" s="417">
        <v>0</v>
      </c>
      <c r="K21" s="418"/>
      <c r="L21" s="417">
        <v>0</v>
      </c>
      <c r="M21" s="417">
        <v>0</v>
      </c>
      <c r="N21" s="417">
        <v>0</v>
      </c>
      <c r="O21" s="417">
        <v>0</v>
      </c>
      <c r="P21" s="417">
        <v>0</v>
      </c>
      <c r="Q21" s="418"/>
      <c r="R21" s="417">
        <v>0</v>
      </c>
      <c r="S21" s="417">
        <v>0</v>
      </c>
      <c r="T21" s="417">
        <v>0</v>
      </c>
      <c r="U21" s="417">
        <v>0</v>
      </c>
      <c r="V21" s="417">
        <v>0</v>
      </c>
      <c r="W21" s="418"/>
      <c r="X21" s="417">
        <v>0</v>
      </c>
      <c r="Y21" s="417">
        <v>0</v>
      </c>
      <c r="Z21" s="417">
        <v>23525</v>
      </c>
      <c r="AA21" s="417">
        <v>7841</v>
      </c>
      <c r="AB21" s="417">
        <v>31366</v>
      </c>
      <c r="AC21" s="418"/>
      <c r="AD21" s="417">
        <v>7842</v>
      </c>
      <c r="AE21" s="417">
        <v>7842</v>
      </c>
      <c r="AF21" s="417">
        <v>7841</v>
      </c>
      <c r="AG21" s="417">
        <v>7841</v>
      </c>
      <c r="AH21" s="417">
        <v>31366</v>
      </c>
      <c r="AI21" s="418"/>
      <c r="AJ21" s="417">
        <v>7842</v>
      </c>
      <c r="AK21" s="417">
        <v>7842</v>
      </c>
      <c r="AL21" s="417">
        <v>7841</v>
      </c>
      <c r="AM21" s="417">
        <v>7841</v>
      </c>
      <c r="AN21" s="417">
        <v>31366</v>
      </c>
      <c r="AO21" s="418"/>
      <c r="AP21" s="417">
        <v>7842</v>
      </c>
      <c r="AQ21" s="417">
        <v>7842</v>
      </c>
      <c r="AR21" s="417">
        <v>7841</v>
      </c>
      <c r="AS21" s="417">
        <v>7841</v>
      </c>
      <c r="AT21" s="417">
        <v>31366</v>
      </c>
    </row>
    <row r="22" spans="1:46" s="1" customFormat="1" ht="15" customHeight="1" x14ac:dyDescent="0.2">
      <c r="A22" s="125" t="str">
        <f>IF(Contents!$A$1=2,"All other items – net","Прочие, нетто")</f>
        <v>Прочие, нетто</v>
      </c>
      <c r="B22" s="271" t="str">
        <f>IF(Contents!$A$1=2,"mln RUB","млн руб.")</f>
        <v>млн руб.</v>
      </c>
      <c r="C22" s="123"/>
      <c r="D22" s="417">
        <v>5157</v>
      </c>
      <c r="E22" s="418"/>
      <c r="F22" s="417">
        <v>9996</v>
      </c>
      <c r="G22" s="417">
        <v>-1486</v>
      </c>
      <c r="H22" s="417">
        <v>-1314</v>
      </c>
      <c r="I22" s="417">
        <v>-3388</v>
      </c>
      <c r="J22" s="417">
        <v>3808</v>
      </c>
      <c r="K22" s="418"/>
      <c r="L22" s="417">
        <v>8774</v>
      </c>
      <c r="M22" s="417">
        <v>-2400</v>
      </c>
      <c r="N22" s="456">
        <v>5000</v>
      </c>
      <c r="O22" s="417">
        <v>13801</v>
      </c>
      <c r="P22" s="417">
        <v>25175</v>
      </c>
      <c r="Q22" s="418"/>
      <c r="R22" s="417">
        <v>-4036</v>
      </c>
      <c r="S22" s="417">
        <v>-399</v>
      </c>
      <c r="T22" s="417">
        <v>3443</v>
      </c>
      <c r="U22" s="417">
        <v>5012</v>
      </c>
      <c r="V22" s="417">
        <v>4020</v>
      </c>
      <c r="W22" s="418"/>
      <c r="X22" s="417">
        <v>4399</v>
      </c>
      <c r="Y22" s="417">
        <v>-706</v>
      </c>
      <c r="Z22" s="417">
        <v>-4471</v>
      </c>
      <c r="AA22" s="417">
        <v>6854</v>
      </c>
      <c r="AB22" s="417">
        <v>6076</v>
      </c>
      <c r="AC22" s="418"/>
      <c r="AD22" s="417">
        <v>2441</v>
      </c>
      <c r="AE22" s="417">
        <v>-3057</v>
      </c>
      <c r="AF22" s="417">
        <v>-1029</v>
      </c>
      <c r="AG22" s="417">
        <v>3468</v>
      </c>
      <c r="AH22" s="417">
        <v>1823</v>
      </c>
      <c r="AI22" s="418"/>
      <c r="AJ22" s="417">
        <v>2527</v>
      </c>
      <c r="AK22" s="417">
        <v>5998</v>
      </c>
      <c r="AL22" s="417">
        <v>-1961</v>
      </c>
      <c r="AM22" s="417">
        <v>-1026</v>
      </c>
      <c r="AN22" s="417">
        <v>5538</v>
      </c>
      <c r="AO22" s="418"/>
      <c r="AP22" s="417">
        <v>75</v>
      </c>
      <c r="AQ22" s="417">
        <v>-4271</v>
      </c>
      <c r="AR22" s="417">
        <v>-739</v>
      </c>
      <c r="AS22" s="417">
        <v>-4628</v>
      </c>
      <c r="AT22" s="417">
        <v>-9563</v>
      </c>
    </row>
    <row r="23" spans="1:46" s="1" customFormat="1" ht="15" customHeight="1" x14ac:dyDescent="0.2">
      <c r="A23" s="100" t="str">
        <f>IF(Contents!$A$1=2,"Changes in operating assets and liabilities:","Изменения в активах и обязательствах, относящихся к основной деятельности:")</f>
        <v>Изменения в активах и обязательствах, относящихся к основной деятельности:</v>
      </c>
      <c r="B23" s="271"/>
      <c r="C23" s="135"/>
      <c r="D23" s="417"/>
      <c r="E23" s="418"/>
      <c r="F23" s="417"/>
      <c r="G23" s="417"/>
      <c r="H23" s="417"/>
      <c r="I23" s="417"/>
      <c r="J23" s="417"/>
      <c r="K23" s="418"/>
      <c r="L23" s="417"/>
      <c r="M23" s="417"/>
      <c r="N23" s="417"/>
      <c r="O23" s="417"/>
      <c r="P23" s="417"/>
      <c r="Q23" s="418"/>
      <c r="R23" s="417"/>
      <c r="S23" s="417"/>
      <c r="T23" s="417"/>
      <c r="U23" s="417"/>
      <c r="V23" s="417"/>
      <c r="W23" s="418"/>
      <c r="X23" s="417"/>
      <c r="Y23" s="417"/>
      <c r="Z23" s="417"/>
      <c r="AA23" s="417"/>
      <c r="AB23" s="417"/>
      <c r="AC23" s="418"/>
      <c r="AD23" s="417"/>
      <c r="AE23" s="417"/>
      <c r="AF23" s="417"/>
      <c r="AG23" s="417"/>
      <c r="AH23" s="417"/>
      <c r="AI23" s="418"/>
      <c r="AJ23" s="417"/>
      <c r="AK23" s="417"/>
      <c r="AL23" s="417"/>
      <c r="AM23" s="417"/>
      <c r="AN23" s="417"/>
      <c r="AO23" s="418"/>
      <c r="AP23" s="417"/>
      <c r="AQ23" s="417"/>
      <c r="AR23" s="417"/>
      <c r="AS23" s="417"/>
      <c r="AT23" s="417"/>
    </row>
    <row r="24" spans="1:46" s="1" customFormat="1" ht="15" customHeight="1" x14ac:dyDescent="0.2">
      <c r="A24" s="125" t="str">
        <f>IF(Contents!$A$1=2,"Trade accounts receivable","Дебиторская задолженность ")</f>
        <v xml:space="preserve">Дебиторская задолженность </v>
      </c>
      <c r="B24" s="271" t="str">
        <f>IF(Contents!$A$1=2,"mln RUB","млн руб.")</f>
        <v>млн руб.</v>
      </c>
      <c r="C24" s="123"/>
      <c r="D24" s="417">
        <v>-112526</v>
      </c>
      <c r="E24" s="418"/>
      <c r="F24" s="417">
        <v>60166</v>
      </c>
      <c r="G24" s="417">
        <v>9293</v>
      </c>
      <c r="H24" s="417">
        <v>27384</v>
      </c>
      <c r="I24" s="417">
        <v>15508</v>
      </c>
      <c r="J24" s="417">
        <v>112351</v>
      </c>
      <c r="K24" s="418"/>
      <c r="L24" s="417">
        <v>15220</v>
      </c>
      <c r="M24" s="417">
        <v>-12762</v>
      </c>
      <c r="N24" s="417">
        <v>41630</v>
      </c>
      <c r="O24" s="417">
        <v>-34868</v>
      </c>
      <c r="P24" s="417">
        <v>9220</v>
      </c>
      <c r="Q24" s="418"/>
      <c r="R24" s="417">
        <v>20173</v>
      </c>
      <c r="S24" s="417">
        <v>7553</v>
      </c>
      <c r="T24" s="417">
        <v>-46883</v>
      </c>
      <c r="U24" s="417">
        <v>-64898</v>
      </c>
      <c r="V24" s="417">
        <v>-84055</v>
      </c>
      <c r="W24" s="418"/>
      <c r="X24" s="417">
        <v>33570</v>
      </c>
      <c r="Y24" s="417">
        <v>-76796</v>
      </c>
      <c r="Z24" s="417">
        <v>-97171</v>
      </c>
      <c r="AA24" s="417">
        <v>164274</v>
      </c>
      <c r="AB24" s="417">
        <v>23877</v>
      </c>
      <c r="AC24" s="418"/>
      <c r="AD24" s="417">
        <v>-17767</v>
      </c>
      <c r="AE24" s="417">
        <v>-85804</v>
      </c>
      <c r="AF24" s="417">
        <v>84710</v>
      </c>
      <c r="AG24" s="417">
        <v>-29162</v>
      </c>
      <c r="AH24" s="417">
        <v>-48023</v>
      </c>
      <c r="AI24" s="418"/>
      <c r="AJ24" s="417">
        <v>71465</v>
      </c>
      <c r="AK24" s="417">
        <v>80146</v>
      </c>
      <c r="AL24" s="417">
        <v>-56609</v>
      </c>
      <c r="AM24" s="417">
        <v>33137</v>
      </c>
      <c r="AN24" s="417">
        <v>128139</v>
      </c>
      <c r="AO24" s="418"/>
      <c r="AP24" s="417">
        <v>-66253</v>
      </c>
      <c r="AQ24" s="417">
        <v>-161941</v>
      </c>
      <c r="AR24" s="417">
        <v>-48982</v>
      </c>
      <c r="AS24" s="417">
        <v>-86161</v>
      </c>
      <c r="AT24" s="417">
        <v>-363337</v>
      </c>
    </row>
    <row r="25" spans="1:46" s="1" customFormat="1" ht="15" customHeight="1" x14ac:dyDescent="0.2">
      <c r="A25" s="125" t="str">
        <f>IF(Contents!$A$1=2,"Inventories","Запасы")</f>
        <v>Запасы</v>
      </c>
      <c r="B25" s="271" t="str">
        <f>IF(Contents!$A$1=2,"mln RUB","млн руб.")</f>
        <v>млн руб.</v>
      </c>
      <c r="C25" s="123"/>
      <c r="D25" s="417">
        <v>59832</v>
      </c>
      <c r="E25" s="418"/>
      <c r="F25" s="417">
        <v>-13442</v>
      </c>
      <c r="G25" s="417">
        <v>-40720</v>
      </c>
      <c r="H25" s="417">
        <v>52765</v>
      </c>
      <c r="I25" s="417">
        <v>80019</v>
      </c>
      <c r="J25" s="417">
        <v>78622</v>
      </c>
      <c r="K25" s="418"/>
      <c r="L25" s="417">
        <v>-21905</v>
      </c>
      <c r="M25" s="417">
        <v>-65944</v>
      </c>
      <c r="N25" s="417">
        <v>22143</v>
      </c>
      <c r="O25" s="417">
        <v>-68048</v>
      </c>
      <c r="P25" s="417">
        <v>-133754</v>
      </c>
      <c r="Q25" s="418"/>
      <c r="R25" s="417">
        <v>-2062</v>
      </c>
      <c r="S25" s="417">
        <v>30553</v>
      </c>
      <c r="T25" s="417">
        <v>7419</v>
      </c>
      <c r="U25" s="417">
        <v>-45260</v>
      </c>
      <c r="V25" s="417">
        <v>-9350</v>
      </c>
      <c r="W25" s="418"/>
      <c r="X25" s="417">
        <v>-24946</v>
      </c>
      <c r="Y25" s="417">
        <v>-15880</v>
      </c>
      <c r="Z25" s="417">
        <v>28789</v>
      </c>
      <c r="AA25" s="417">
        <v>83602</v>
      </c>
      <c r="AB25" s="417">
        <v>71565</v>
      </c>
      <c r="AC25" s="418"/>
      <c r="AD25" s="417">
        <v>-101788</v>
      </c>
      <c r="AE25" s="417">
        <v>39247</v>
      </c>
      <c r="AF25" s="417">
        <v>-17428</v>
      </c>
      <c r="AG25" s="417">
        <v>10798</v>
      </c>
      <c r="AH25" s="417">
        <v>-69171</v>
      </c>
      <c r="AI25" s="418"/>
      <c r="AJ25" s="417">
        <v>164663</v>
      </c>
      <c r="AK25" s="417">
        <v>-82906</v>
      </c>
      <c r="AL25" s="417">
        <v>4509</v>
      </c>
      <c r="AM25" s="417">
        <v>-48398</v>
      </c>
      <c r="AN25" s="417">
        <v>37868</v>
      </c>
      <c r="AO25" s="418"/>
      <c r="AP25" s="417">
        <v>-62014</v>
      </c>
      <c r="AQ25" s="417">
        <v>-12166</v>
      </c>
      <c r="AR25" s="417">
        <v>-21978</v>
      </c>
      <c r="AS25" s="417">
        <v>51501</v>
      </c>
      <c r="AT25" s="417">
        <v>-44657</v>
      </c>
    </row>
    <row r="26" spans="1:46" s="1" customFormat="1" ht="15" customHeight="1" x14ac:dyDescent="0.2">
      <c r="A26" s="125" t="str">
        <f>IF(Contents!$A$1=2,"Accounts payable","Кредиторская задолженность")</f>
        <v>Кредиторская задолженность</v>
      </c>
      <c r="B26" s="271" t="str">
        <f>IF(Contents!$A$1=2,"mln RUB","млн руб.")</f>
        <v>млн руб.</v>
      </c>
      <c r="C26" s="123"/>
      <c r="D26" s="417">
        <v>-35822</v>
      </c>
      <c r="E26" s="418"/>
      <c r="F26" s="417">
        <v>-4367</v>
      </c>
      <c r="G26" s="417">
        <v>-20399</v>
      </c>
      <c r="H26" s="417">
        <v>-27418</v>
      </c>
      <c r="I26" s="417">
        <v>-35437</v>
      </c>
      <c r="J26" s="417">
        <v>-87621</v>
      </c>
      <c r="K26" s="418"/>
      <c r="L26" s="417">
        <v>-14702</v>
      </c>
      <c r="M26" s="417">
        <v>100290</v>
      </c>
      <c r="N26" s="417">
        <v>-28917</v>
      </c>
      <c r="O26" s="417">
        <v>162932</v>
      </c>
      <c r="P26" s="417">
        <v>219603</v>
      </c>
      <c r="Q26" s="418"/>
      <c r="R26" s="417">
        <v>-114507</v>
      </c>
      <c r="S26" s="417">
        <v>-13432</v>
      </c>
      <c r="T26" s="417">
        <v>73585</v>
      </c>
      <c r="U26" s="417">
        <v>82074</v>
      </c>
      <c r="V26" s="417">
        <v>27720</v>
      </c>
      <c r="W26" s="418"/>
      <c r="X26" s="417">
        <v>-37914</v>
      </c>
      <c r="Y26" s="417">
        <v>51778</v>
      </c>
      <c r="Z26" s="417">
        <v>25600</v>
      </c>
      <c r="AA26" s="417">
        <v>-131972</v>
      </c>
      <c r="AB26" s="417">
        <v>-92508</v>
      </c>
      <c r="AC26" s="418"/>
      <c r="AD26" s="417">
        <v>56889</v>
      </c>
      <c r="AE26" s="417">
        <v>14799</v>
      </c>
      <c r="AF26" s="417">
        <v>-37056</v>
      </c>
      <c r="AG26" s="417">
        <v>54345</v>
      </c>
      <c r="AH26" s="417">
        <v>88977</v>
      </c>
      <c r="AI26" s="418"/>
      <c r="AJ26" s="417">
        <v>-164651</v>
      </c>
      <c r="AK26" s="417">
        <v>-27217</v>
      </c>
      <c r="AL26" s="417">
        <v>65549</v>
      </c>
      <c r="AM26" s="417">
        <v>57014</v>
      </c>
      <c r="AN26" s="417">
        <v>-69305</v>
      </c>
      <c r="AO26" s="418"/>
      <c r="AP26" s="417">
        <v>104591</v>
      </c>
      <c r="AQ26" s="417">
        <v>34034</v>
      </c>
      <c r="AR26" s="417">
        <v>20336</v>
      </c>
      <c r="AS26" s="417">
        <v>26086</v>
      </c>
      <c r="AT26" s="417">
        <v>185047</v>
      </c>
    </row>
    <row r="27" spans="1:46" s="1" customFormat="1" ht="15" customHeight="1" x14ac:dyDescent="0.2">
      <c r="A27" s="125" t="str">
        <f>IF(Contents!$A$1=2,"Other taxes","Прочие налоги")</f>
        <v>Прочие налоги</v>
      </c>
      <c r="B27" s="271" t="str">
        <f>IF(Contents!$A$1=2,"mln RUB","млн руб.")</f>
        <v>млн руб.</v>
      </c>
      <c r="C27" s="123"/>
      <c r="D27" s="417">
        <v>4310</v>
      </c>
      <c r="E27" s="418"/>
      <c r="F27" s="417">
        <v>37924</v>
      </c>
      <c r="G27" s="417">
        <v>19432</v>
      </c>
      <c r="H27" s="417">
        <v>-9704</v>
      </c>
      <c r="I27" s="417">
        <v>-17191</v>
      </c>
      <c r="J27" s="417">
        <v>30461</v>
      </c>
      <c r="K27" s="418"/>
      <c r="L27" s="417">
        <v>23075</v>
      </c>
      <c r="M27" s="417">
        <v>14108</v>
      </c>
      <c r="N27" s="417">
        <v>-3203</v>
      </c>
      <c r="O27" s="417">
        <v>-8996</v>
      </c>
      <c r="P27" s="417">
        <v>24984</v>
      </c>
      <c r="Q27" s="418"/>
      <c r="R27" s="417">
        <v>9907</v>
      </c>
      <c r="S27" s="417">
        <v>5816</v>
      </c>
      <c r="T27" s="417">
        <v>15003</v>
      </c>
      <c r="U27" s="417">
        <v>-9188</v>
      </c>
      <c r="V27" s="417">
        <v>21538</v>
      </c>
      <c r="W27" s="418"/>
      <c r="X27" s="417">
        <v>5143</v>
      </c>
      <c r="Y27" s="417">
        <v>20765</v>
      </c>
      <c r="Z27" s="417">
        <v>5655</v>
      </c>
      <c r="AA27" s="417">
        <v>-40023</v>
      </c>
      <c r="AB27" s="417">
        <v>-8460</v>
      </c>
      <c r="AC27" s="418"/>
      <c r="AD27" s="417">
        <v>35794</v>
      </c>
      <c r="AE27" s="417">
        <v>-8979</v>
      </c>
      <c r="AF27" s="417">
        <v>-4287</v>
      </c>
      <c r="AG27" s="417">
        <v>1525</v>
      </c>
      <c r="AH27" s="417">
        <v>24053</v>
      </c>
      <c r="AI27" s="418"/>
      <c r="AJ27" s="417">
        <v>-13347</v>
      </c>
      <c r="AK27" s="417">
        <v>6397</v>
      </c>
      <c r="AL27" s="417">
        <v>26789</v>
      </c>
      <c r="AM27" s="417">
        <v>-9639</v>
      </c>
      <c r="AN27" s="417">
        <v>10200</v>
      </c>
      <c r="AO27" s="418"/>
      <c r="AP27" s="417">
        <v>47601</v>
      </c>
      <c r="AQ27" s="417">
        <v>17320</v>
      </c>
      <c r="AR27" s="417">
        <v>18262</v>
      </c>
      <c r="AS27" s="417">
        <v>-122</v>
      </c>
      <c r="AT27" s="417">
        <v>83061</v>
      </c>
    </row>
    <row r="28" spans="1:46" s="1" customFormat="1" ht="15" customHeight="1" x14ac:dyDescent="0.2">
      <c r="A28" s="125" t="str">
        <f>IF(Contents!$A$1=2,"Other current assets and liabilities","Прочие краткосрочные активы и обязательства")</f>
        <v>Прочие краткосрочные активы и обязательства</v>
      </c>
      <c r="B28" s="271" t="str">
        <f>IF(Contents!$A$1=2,"mln RUB","млн руб.")</f>
        <v>млн руб.</v>
      </c>
      <c r="C28" s="123"/>
      <c r="D28" s="417">
        <v>57665</v>
      </c>
      <c r="E28" s="418"/>
      <c r="F28" s="417">
        <v>-49088</v>
      </c>
      <c r="G28" s="417">
        <v>-25988</v>
      </c>
      <c r="H28" s="417">
        <v>-3900</v>
      </c>
      <c r="I28" s="417">
        <v>13972</v>
      </c>
      <c r="J28" s="417">
        <v>-65004</v>
      </c>
      <c r="K28" s="418"/>
      <c r="L28" s="417">
        <v>-20528</v>
      </c>
      <c r="M28" s="417">
        <v>-29226</v>
      </c>
      <c r="N28" s="417">
        <v>14708</v>
      </c>
      <c r="O28" s="417">
        <v>-34776</v>
      </c>
      <c r="P28" s="417">
        <v>-69822</v>
      </c>
      <c r="Q28" s="418"/>
      <c r="R28" s="417">
        <v>20768</v>
      </c>
      <c r="S28" s="417">
        <v>8005</v>
      </c>
      <c r="T28" s="417">
        <v>-42296</v>
      </c>
      <c r="U28" s="417">
        <v>32687</v>
      </c>
      <c r="V28" s="417">
        <v>19164</v>
      </c>
      <c r="W28" s="418"/>
      <c r="X28" s="417">
        <v>-23709</v>
      </c>
      <c r="Y28" s="417">
        <v>136</v>
      </c>
      <c r="Z28" s="417">
        <v>-2805</v>
      </c>
      <c r="AA28" s="417">
        <v>-1688</v>
      </c>
      <c r="AB28" s="417">
        <v>-28066</v>
      </c>
      <c r="AC28" s="418"/>
      <c r="AD28" s="417">
        <v>-10562</v>
      </c>
      <c r="AE28" s="417">
        <v>13634</v>
      </c>
      <c r="AF28" s="417">
        <v>-13143</v>
      </c>
      <c r="AG28" s="417">
        <v>7454</v>
      </c>
      <c r="AH28" s="417">
        <v>-2617</v>
      </c>
      <c r="AI28" s="418"/>
      <c r="AJ28" s="417">
        <v>-11831</v>
      </c>
      <c r="AK28" s="417">
        <v>12866</v>
      </c>
      <c r="AL28" s="417">
        <v>-11251</v>
      </c>
      <c r="AM28" s="417">
        <v>-4938</v>
      </c>
      <c r="AN28" s="417">
        <v>-15154</v>
      </c>
      <c r="AO28" s="418"/>
      <c r="AP28" s="417">
        <v>-48006</v>
      </c>
      <c r="AQ28" s="417">
        <v>22952</v>
      </c>
      <c r="AR28" s="417">
        <v>26510</v>
      </c>
      <c r="AS28" s="417">
        <v>-45466</v>
      </c>
      <c r="AT28" s="417">
        <v>-44010</v>
      </c>
    </row>
    <row r="29" spans="1:46" s="1" customFormat="1" ht="15" customHeight="1" x14ac:dyDescent="0.2">
      <c r="A29" s="100" t="str">
        <f>IF(Contents!$A$1=2,"Income tax paid","Платежи по налогу на прибыль")</f>
        <v>Платежи по налогу на прибыль</v>
      </c>
      <c r="B29" s="271" t="str">
        <f>IF(Contents!$A$1=2,"mln RUB","млн руб.")</f>
        <v>млн руб.</v>
      </c>
      <c r="C29" s="135"/>
      <c r="D29" s="417">
        <v>-85851</v>
      </c>
      <c r="E29" s="418"/>
      <c r="F29" s="417">
        <v>-24930</v>
      </c>
      <c r="G29" s="417">
        <v>-13443</v>
      </c>
      <c r="H29" s="417">
        <v>-33809</v>
      </c>
      <c r="I29" s="417">
        <v>-20195</v>
      </c>
      <c r="J29" s="417">
        <v>-92377</v>
      </c>
      <c r="K29" s="418"/>
      <c r="L29" s="417">
        <v>-21244</v>
      </c>
      <c r="M29" s="417">
        <v>-14544</v>
      </c>
      <c r="N29" s="417">
        <v>-15090</v>
      </c>
      <c r="O29" s="417">
        <v>-20700</v>
      </c>
      <c r="P29" s="417">
        <v>-71578</v>
      </c>
      <c r="Q29" s="418"/>
      <c r="R29" s="417">
        <v>-11696</v>
      </c>
      <c r="S29" s="417">
        <v>-20076</v>
      </c>
      <c r="T29" s="417">
        <v>-26663</v>
      </c>
      <c r="U29" s="417">
        <v>-29888</v>
      </c>
      <c r="V29" s="417">
        <v>-88323</v>
      </c>
      <c r="W29" s="418"/>
      <c r="X29" s="417">
        <v>-17718</v>
      </c>
      <c r="Y29" s="417">
        <v>-37433</v>
      </c>
      <c r="Z29" s="417">
        <v>-40856</v>
      </c>
      <c r="AA29" s="417">
        <v>-37057</v>
      </c>
      <c r="AB29" s="417">
        <v>-133064</v>
      </c>
      <c r="AC29" s="418"/>
      <c r="AD29" s="417">
        <v>-35429</v>
      </c>
      <c r="AE29" s="417">
        <v>-45249</v>
      </c>
      <c r="AF29" s="417">
        <v>-38318</v>
      </c>
      <c r="AG29" s="417">
        <v>-29318</v>
      </c>
      <c r="AH29" s="417">
        <v>-148314</v>
      </c>
      <c r="AI29" s="418"/>
      <c r="AJ29" s="417">
        <v>-26306</v>
      </c>
      <c r="AK29" s="417">
        <v>-6878</v>
      </c>
      <c r="AL29" s="417">
        <v>-10933</v>
      </c>
      <c r="AM29" s="417">
        <v>-13133</v>
      </c>
      <c r="AN29" s="417">
        <v>-57250</v>
      </c>
      <c r="AO29" s="418"/>
      <c r="AP29" s="417">
        <v>-30406</v>
      </c>
      <c r="AQ29" s="417">
        <v>-36005</v>
      </c>
      <c r="AR29" s="417">
        <v>-44547</v>
      </c>
      <c r="AS29" s="417">
        <v>-50740</v>
      </c>
      <c r="AT29" s="417">
        <v>-161698</v>
      </c>
    </row>
    <row r="30" spans="1:46" s="1" customFormat="1" ht="15" customHeight="1" x14ac:dyDescent="0.2">
      <c r="A30" s="100" t="str">
        <f>IF(Contents!$A$1=2,"Dividends received","Дивиденды полученные")</f>
        <v>Дивиденды полученные</v>
      </c>
      <c r="B30" s="271" t="str">
        <f>IF(Contents!$A$1=2,"mln RUB","млн руб.")</f>
        <v>млн руб.</v>
      </c>
      <c r="C30" s="135"/>
      <c r="D30" s="417">
        <v>12848</v>
      </c>
      <c r="E30" s="418"/>
      <c r="F30" s="417">
        <v>0</v>
      </c>
      <c r="G30" s="417">
        <v>0</v>
      </c>
      <c r="H30" s="417">
        <v>0</v>
      </c>
      <c r="I30" s="417">
        <v>9443</v>
      </c>
      <c r="J30" s="417">
        <v>9443</v>
      </c>
      <c r="K30" s="418"/>
      <c r="L30" s="417">
        <v>1204</v>
      </c>
      <c r="M30" s="417">
        <v>898</v>
      </c>
      <c r="N30" s="417">
        <v>1004</v>
      </c>
      <c r="O30" s="417">
        <v>1279</v>
      </c>
      <c r="P30" s="417">
        <v>4385</v>
      </c>
      <c r="Q30" s="418"/>
      <c r="R30" s="417">
        <v>557</v>
      </c>
      <c r="S30" s="417">
        <v>2108</v>
      </c>
      <c r="T30" s="417">
        <v>1089</v>
      </c>
      <c r="U30" s="417">
        <v>4153</v>
      </c>
      <c r="V30" s="417">
        <v>7907</v>
      </c>
      <c r="W30" s="418"/>
      <c r="X30" s="417">
        <v>1462</v>
      </c>
      <c r="Y30" s="417">
        <v>2992</v>
      </c>
      <c r="Z30" s="417">
        <v>1947</v>
      </c>
      <c r="AA30" s="417">
        <v>1126</v>
      </c>
      <c r="AB30" s="417">
        <v>7527</v>
      </c>
      <c r="AC30" s="418"/>
      <c r="AD30" s="417">
        <v>632</v>
      </c>
      <c r="AE30" s="417">
        <v>2286</v>
      </c>
      <c r="AF30" s="417">
        <v>1896</v>
      </c>
      <c r="AG30" s="417">
        <v>1822</v>
      </c>
      <c r="AH30" s="417">
        <v>6636</v>
      </c>
      <c r="AI30" s="418"/>
      <c r="AJ30" s="417">
        <v>943</v>
      </c>
      <c r="AK30" s="417">
        <v>2574</v>
      </c>
      <c r="AL30" s="417">
        <v>2134</v>
      </c>
      <c r="AM30" s="417">
        <v>3797</v>
      </c>
      <c r="AN30" s="417">
        <v>9448</v>
      </c>
      <c r="AO30" s="418"/>
      <c r="AP30" s="417">
        <v>73</v>
      </c>
      <c r="AQ30" s="417">
        <v>7315</v>
      </c>
      <c r="AR30" s="417">
        <v>5086</v>
      </c>
      <c r="AS30" s="417">
        <v>12694</v>
      </c>
      <c r="AT30" s="417">
        <v>25168</v>
      </c>
    </row>
    <row r="31" spans="1:46" s="1" customFormat="1" ht="15" customHeight="1" x14ac:dyDescent="0.2">
      <c r="A31" s="100" t="str">
        <f>IF(Contents!$A$1=2,"Interests received","Проценты полученные ")</f>
        <v xml:space="preserve">Проценты полученные </v>
      </c>
      <c r="B31" s="271" t="str">
        <f>IF(Contents!$A$1=2,"mln RUB","млн руб.")</f>
        <v>млн руб.</v>
      </c>
      <c r="C31" s="135"/>
      <c r="D31" s="417">
        <v>8504</v>
      </c>
      <c r="E31" s="418"/>
      <c r="F31" s="417">
        <v>2872</v>
      </c>
      <c r="G31" s="417">
        <v>2517</v>
      </c>
      <c r="H31" s="417">
        <v>5881</v>
      </c>
      <c r="I31" s="417">
        <v>2910</v>
      </c>
      <c r="J31" s="417">
        <v>14180</v>
      </c>
      <c r="K31" s="418"/>
      <c r="L31" s="417">
        <v>1693</v>
      </c>
      <c r="M31" s="417">
        <v>2522</v>
      </c>
      <c r="N31" s="417">
        <v>2735</v>
      </c>
      <c r="O31" s="417">
        <v>3699</v>
      </c>
      <c r="P31" s="417">
        <v>10649</v>
      </c>
      <c r="Q31" s="418"/>
      <c r="R31" s="417">
        <v>1780</v>
      </c>
      <c r="S31" s="417">
        <v>2111</v>
      </c>
      <c r="T31" s="417">
        <v>2342</v>
      </c>
      <c r="U31" s="417">
        <v>4086</v>
      </c>
      <c r="V31" s="417">
        <v>10319</v>
      </c>
      <c r="W31" s="418"/>
      <c r="X31" s="417">
        <v>2405</v>
      </c>
      <c r="Y31" s="417">
        <v>2950</v>
      </c>
      <c r="Z31" s="417">
        <v>4215</v>
      </c>
      <c r="AA31" s="417">
        <v>10042</v>
      </c>
      <c r="AB31" s="417">
        <v>19612</v>
      </c>
      <c r="AC31" s="418"/>
      <c r="AD31" s="417">
        <v>4261</v>
      </c>
      <c r="AE31" s="417">
        <v>3756</v>
      </c>
      <c r="AF31" s="417">
        <v>6532</v>
      </c>
      <c r="AG31" s="417">
        <v>5436</v>
      </c>
      <c r="AH31" s="417">
        <v>19985</v>
      </c>
      <c r="AI31" s="418"/>
      <c r="AJ31" s="417">
        <v>4288</v>
      </c>
      <c r="AK31" s="417">
        <v>811</v>
      </c>
      <c r="AL31" s="417">
        <v>2633</v>
      </c>
      <c r="AM31" s="417">
        <v>3818</v>
      </c>
      <c r="AN31" s="417">
        <v>11550</v>
      </c>
      <c r="AO31" s="418"/>
      <c r="AP31" s="417">
        <v>1125</v>
      </c>
      <c r="AQ31" s="417">
        <v>1551</v>
      </c>
      <c r="AR31" s="417">
        <v>3365</v>
      </c>
      <c r="AS31" s="417">
        <v>6729</v>
      </c>
      <c r="AT31" s="417">
        <v>12770</v>
      </c>
    </row>
    <row r="32" spans="1:46" s="1" customFormat="1" ht="15" customHeight="1" x14ac:dyDescent="0.2">
      <c r="A32" s="90" t="str">
        <f>IF(Contents!$A$1=2,"Net cash provided by operating activities","Чистые денежные средства, полученные от операционной деятельности")</f>
        <v>Чистые денежные средства, полученные от операционной деятельности</v>
      </c>
      <c r="B32" s="270" t="str">
        <f>IF(Contents!$A$1=2,"mln RUB","млн руб.")</f>
        <v>млн руб.</v>
      </c>
      <c r="C32" s="82"/>
      <c r="D32" s="420">
        <v>651416</v>
      </c>
      <c r="E32" s="426"/>
      <c r="F32" s="420">
        <v>225101</v>
      </c>
      <c r="G32" s="420">
        <v>158002</v>
      </c>
      <c r="H32" s="420">
        <v>234564</v>
      </c>
      <c r="I32" s="420">
        <v>231305</v>
      </c>
      <c r="J32" s="420">
        <v>848972</v>
      </c>
      <c r="K32" s="426"/>
      <c r="L32" s="420">
        <v>164396</v>
      </c>
      <c r="M32" s="420">
        <v>180082</v>
      </c>
      <c r="N32" s="420">
        <v>213401</v>
      </c>
      <c r="O32" s="420">
        <v>194368</v>
      </c>
      <c r="P32" s="420">
        <v>752247</v>
      </c>
      <c r="Q32" s="426"/>
      <c r="R32" s="420">
        <v>131603</v>
      </c>
      <c r="S32" s="420">
        <v>206298</v>
      </c>
      <c r="T32" s="420">
        <v>209565</v>
      </c>
      <c r="U32" s="420">
        <v>211024</v>
      </c>
      <c r="V32" s="420">
        <v>758490</v>
      </c>
      <c r="W32" s="426"/>
      <c r="X32" s="420">
        <v>166992</v>
      </c>
      <c r="Y32" s="420">
        <v>242949</v>
      </c>
      <c r="Z32" s="420">
        <v>271199</v>
      </c>
      <c r="AA32" s="420">
        <v>325511</v>
      </c>
      <c r="AB32" s="420">
        <v>1006651</v>
      </c>
      <c r="AC32" s="426"/>
      <c r="AD32" s="420">
        <v>243324</v>
      </c>
      <c r="AE32" s="420">
        <v>269918</v>
      </c>
      <c r="AF32" s="420">
        <v>317921</v>
      </c>
      <c r="AG32" s="420">
        <v>320681</v>
      </c>
      <c r="AH32" s="420">
        <v>1151844</v>
      </c>
      <c r="AI32" s="426"/>
      <c r="AJ32" s="420">
        <v>185730</v>
      </c>
      <c r="AK32" s="420">
        <v>142752</v>
      </c>
      <c r="AL32" s="420">
        <v>227449</v>
      </c>
      <c r="AM32" s="420">
        <v>220643</v>
      </c>
      <c r="AN32" s="420">
        <v>776574</v>
      </c>
      <c r="AO32" s="426"/>
      <c r="AP32" s="420">
        <v>270845</v>
      </c>
      <c r="AQ32" s="420">
        <v>216416</v>
      </c>
      <c r="AR32" s="420">
        <v>321998</v>
      </c>
      <c r="AS32" s="420">
        <v>317355</v>
      </c>
      <c r="AT32" s="420">
        <v>1126614</v>
      </c>
    </row>
    <row r="33" spans="1:46" s="1" customFormat="1" ht="15" customHeight="1" x14ac:dyDescent="0.2">
      <c r="A33" s="94" t="str">
        <f>IF(Contents!$A$1=2,"Cash flows from investing activities","Движение денежных средств от инвестиционной деятельности")</f>
        <v>Движение денежных средств от инвестиционной деятельности</v>
      </c>
      <c r="B33" s="271"/>
      <c r="C33" s="82"/>
      <c r="D33" s="417"/>
      <c r="E33" s="418"/>
      <c r="F33" s="417"/>
      <c r="G33" s="417"/>
      <c r="H33" s="417"/>
      <c r="I33" s="417"/>
      <c r="J33" s="417"/>
      <c r="K33" s="418"/>
      <c r="L33" s="417"/>
      <c r="M33" s="417"/>
      <c r="N33" s="417"/>
      <c r="O33" s="417"/>
      <c r="P33" s="417"/>
      <c r="Q33" s="418"/>
      <c r="R33" s="417"/>
      <c r="S33" s="417"/>
      <c r="T33" s="417"/>
      <c r="U33" s="417"/>
      <c r="V33" s="417"/>
      <c r="W33" s="418"/>
      <c r="X33" s="417"/>
      <c r="Y33" s="417"/>
      <c r="Z33" s="417"/>
      <c r="AA33" s="417"/>
      <c r="AB33" s="417"/>
      <c r="AC33" s="418"/>
      <c r="AD33" s="417"/>
      <c r="AE33" s="417"/>
      <c r="AF33" s="417"/>
      <c r="AG33" s="417"/>
      <c r="AH33" s="417"/>
      <c r="AI33" s="418"/>
      <c r="AJ33" s="417"/>
      <c r="AK33" s="417"/>
      <c r="AL33" s="417"/>
      <c r="AM33" s="417"/>
      <c r="AN33" s="417"/>
      <c r="AO33" s="418"/>
      <c r="AP33" s="417"/>
      <c r="AQ33" s="417"/>
      <c r="AR33" s="417"/>
      <c r="AS33" s="417"/>
      <c r="AT33" s="417"/>
    </row>
    <row r="34" spans="1:46" s="1" customFormat="1" ht="15" customHeight="1" x14ac:dyDescent="0.2">
      <c r="A34" s="125" t="str">
        <f>IF(Contents!$A$1=2,"Acquisition of licenses","Приобретение лицензий")</f>
        <v>Приобретение лицензий</v>
      </c>
      <c r="B34" s="271" t="str">
        <f>IF(Contents!$A$1=2,"mln RUB","млн руб.")</f>
        <v>млн руб.</v>
      </c>
      <c r="C34" s="123"/>
      <c r="D34" s="417">
        <v>-3535</v>
      </c>
      <c r="E34" s="418"/>
      <c r="F34" s="417">
        <v>-83</v>
      </c>
      <c r="G34" s="417">
        <v>-288</v>
      </c>
      <c r="H34" s="417">
        <v>-131</v>
      </c>
      <c r="I34" s="417">
        <v>-184</v>
      </c>
      <c r="J34" s="417">
        <v>-686</v>
      </c>
      <c r="K34" s="418"/>
      <c r="L34" s="417">
        <v>-2174</v>
      </c>
      <c r="M34" s="417">
        <v>-234</v>
      </c>
      <c r="N34" s="417">
        <v>-148</v>
      </c>
      <c r="O34" s="417">
        <v>7</v>
      </c>
      <c r="P34" s="417">
        <v>-2549</v>
      </c>
      <c r="Q34" s="418"/>
      <c r="R34" s="417">
        <v>-3</v>
      </c>
      <c r="S34" s="417">
        <v>-51</v>
      </c>
      <c r="T34" s="417">
        <v>-69</v>
      </c>
      <c r="U34" s="417">
        <v>-489</v>
      </c>
      <c r="V34" s="417">
        <v>-612</v>
      </c>
      <c r="W34" s="418"/>
      <c r="X34" s="417">
        <v>-29</v>
      </c>
      <c r="Y34" s="417">
        <v>-217</v>
      </c>
      <c r="Z34" s="417">
        <v>-52</v>
      </c>
      <c r="AA34" s="417">
        <v>145</v>
      </c>
      <c r="AB34" s="417">
        <v>-153</v>
      </c>
      <c r="AC34" s="418"/>
      <c r="AD34" s="417">
        <v>-1524</v>
      </c>
      <c r="AE34" s="417">
        <v>-752</v>
      </c>
      <c r="AF34" s="417">
        <v>-58</v>
      </c>
      <c r="AG34" s="417">
        <v>-6591</v>
      </c>
      <c r="AH34" s="417">
        <v>-8925</v>
      </c>
      <c r="AI34" s="418"/>
      <c r="AJ34" s="417">
        <v>-129</v>
      </c>
      <c r="AK34" s="417">
        <v>0</v>
      </c>
      <c r="AL34" s="417">
        <v>-2</v>
      </c>
      <c r="AM34" s="417">
        <v>-104</v>
      </c>
      <c r="AN34" s="417">
        <v>-235</v>
      </c>
      <c r="AO34" s="418"/>
      <c r="AP34" s="417">
        <v>-33</v>
      </c>
      <c r="AQ34" s="417">
        <v>0</v>
      </c>
      <c r="AR34" s="417">
        <v>-188</v>
      </c>
      <c r="AS34" s="417">
        <v>-116</v>
      </c>
      <c r="AT34" s="417">
        <v>-337</v>
      </c>
    </row>
    <row r="35" spans="1:46" s="1" customFormat="1" ht="15" customHeight="1" x14ac:dyDescent="0.2">
      <c r="A35" s="125" t="str">
        <f>IF(Contents!$A$1=2,"Capital expenditures","Капитальные затраты")</f>
        <v>Капитальные затраты</v>
      </c>
      <c r="B35" s="271" t="str">
        <f>IF(Contents!$A$1=2,"mln RUB","млн руб.")</f>
        <v>млн руб.</v>
      </c>
      <c r="C35" s="123"/>
      <c r="D35" s="417">
        <v>-575981</v>
      </c>
      <c r="E35" s="418"/>
      <c r="F35" s="417">
        <v>-162107</v>
      </c>
      <c r="G35" s="417">
        <v>-140746</v>
      </c>
      <c r="H35" s="417">
        <v>-143116</v>
      </c>
      <c r="I35" s="417">
        <v>-154670</v>
      </c>
      <c r="J35" s="417">
        <v>-600639</v>
      </c>
      <c r="K35" s="418"/>
      <c r="L35" s="417">
        <v>-125807</v>
      </c>
      <c r="M35" s="417">
        <v>-122857</v>
      </c>
      <c r="N35" s="417">
        <v>-108728</v>
      </c>
      <c r="O35" s="417">
        <v>-139738</v>
      </c>
      <c r="P35" s="417">
        <v>-497130</v>
      </c>
      <c r="Q35" s="418"/>
      <c r="R35" s="417">
        <v>-130228</v>
      </c>
      <c r="S35" s="417">
        <v>-124640</v>
      </c>
      <c r="T35" s="417">
        <v>-118902</v>
      </c>
      <c r="U35" s="417">
        <v>-137726</v>
      </c>
      <c r="V35" s="417">
        <v>-511496</v>
      </c>
      <c r="W35" s="418"/>
      <c r="X35" s="417">
        <v>-121057</v>
      </c>
      <c r="Y35" s="417">
        <v>-105777</v>
      </c>
      <c r="Z35" s="417">
        <v>-111426</v>
      </c>
      <c r="AA35" s="417">
        <v>-113266</v>
      </c>
      <c r="AB35" s="417">
        <v>-451526</v>
      </c>
      <c r="AC35" s="418"/>
      <c r="AD35" s="417">
        <v>-97421</v>
      </c>
      <c r="AE35" s="417">
        <v>-107555</v>
      </c>
      <c r="AF35" s="417">
        <v>-109062</v>
      </c>
      <c r="AG35" s="417">
        <v>-135937</v>
      </c>
      <c r="AH35" s="417">
        <v>-449975</v>
      </c>
      <c r="AI35" s="418"/>
      <c r="AJ35" s="417">
        <v>-130211</v>
      </c>
      <c r="AK35" s="417">
        <v>-117245</v>
      </c>
      <c r="AL35" s="417">
        <v>-112826</v>
      </c>
      <c r="AM35" s="417">
        <v>-135161</v>
      </c>
      <c r="AN35" s="417">
        <v>-495443</v>
      </c>
      <c r="AO35" s="418"/>
      <c r="AP35" s="417">
        <v>-107220</v>
      </c>
      <c r="AQ35" s="417">
        <v>-104213</v>
      </c>
      <c r="AR35" s="417">
        <v>-94328</v>
      </c>
      <c r="AS35" s="417">
        <v>-127281</v>
      </c>
      <c r="AT35" s="417">
        <v>-433042</v>
      </c>
    </row>
    <row r="36" spans="1:46" s="1" customFormat="1" ht="15" customHeight="1" x14ac:dyDescent="0.2">
      <c r="A36" s="125" t="str">
        <f>IF(Contents!$A$1=2,"Proceeds from sale of property, plant and equipment","Поступления от реализации основных средств")</f>
        <v>Поступления от реализации основных средств</v>
      </c>
      <c r="B36" s="271" t="str">
        <f>IF(Contents!$A$1=2,"mln RUB","млн руб.")</f>
        <v>млн руб.</v>
      </c>
      <c r="C36" s="123"/>
      <c r="D36" s="417">
        <v>2505</v>
      </c>
      <c r="E36" s="418"/>
      <c r="F36" s="417">
        <v>574</v>
      </c>
      <c r="G36" s="417">
        <v>645</v>
      </c>
      <c r="H36" s="417">
        <v>271</v>
      </c>
      <c r="I36" s="417">
        <v>408</v>
      </c>
      <c r="J36" s="417">
        <v>1898</v>
      </c>
      <c r="K36" s="418"/>
      <c r="L36" s="417">
        <v>425</v>
      </c>
      <c r="M36" s="417">
        <v>199</v>
      </c>
      <c r="N36" s="417">
        <v>1048</v>
      </c>
      <c r="O36" s="417">
        <v>417</v>
      </c>
      <c r="P36" s="417">
        <v>2089</v>
      </c>
      <c r="Q36" s="418"/>
      <c r="R36" s="417">
        <v>162</v>
      </c>
      <c r="S36" s="417">
        <v>438</v>
      </c>
      <c r="T36" s="417">
        <v>476</v>
      </c>
      <c r="U36" s="417">
        <v>573</v>
      </c>
      <c r="V36" s="417">
        <v>1649</v>
      </c>
      <c r="W36" s="418"/>
      <c r="X36" s="417">
        <v>288</v>
      </c>
      <c r="Y36" s="417">
        <v>879</v>
      </c>
      <c r="Z36" s="417">
        <v>204</v>
      </c>
      <c r="AA36" s="417">
        <v>3394</v>
      </c>
      <c r="AB36" s="417">
        <v>4765</v>
      </c>
      <c r="AC36" s="418"/>
      <c r="AD36" s="417">
        <v>324</v>
      </c>
      <c r="AE36" s="417">
        <v>323</v>
      </c>
      <c r="AF36" s="417">
        <v>476</v>
      </c>
      <c r="AG36" s="417">
        <v>636</v>
      </c>
      <c r="AH36" s="417">
        <v>1759</v>
      </c>
      <c r="AI36" s="418"/>
      <c r="AJ36" s="417">
        <v>85</v>
      </c>
      <c r="AK36" s="417">
        <v>127</v>
      </c>
      <c r="AL36" s="417">
        <v>140</v>
      </c>
      <c r="AM36" s="417">
        <v>305</v>
      </c>
      <c r="AN36" s="417">
        <v>657</v>
      </c>
      <c r="AO36" s="418"/>
      <c r="AP36" s="417">
        <v>3095</v>
      </c>
      <c r="AQ36" s="417">
        <v>741</v>
      </c>
      <c r="AR36" s="417">
        <v>181</v>
      </c>
      <c r="AS36" s="417">
        <v>400</v>
      </c>
      <c r="AT36" s="417">
        <v>4417</v>
      </c>
    </row>
    <row r="37" spans="1:46" s="1" customFormat="1" ht="15" customHeight="1" x14ac:dyDescent="0.2">
      <c r="A37" s="125" t="str">
        <f>IF(Contents!$A$1=2,"Purchases of financial assets","Приобретение финансовых активов")</f>
        <v>Приобретение финансовых активов</v>
      </c>
      <c r="B37" s="271" t="str">
        <f>IF(Contents!$A$1=2,"mln RUB","млн руб.")</f>
        <v>млн руб.</v>
      </c>
      <c r="C37" s="123"/>
      <c r="D37" s="417">
        <v>-14203</v>
      </c>
      <c r="E37" s="418"/>
      <c r="F37" s="417">
        <v>-744</v>
      </c>
      <c r="G37" s="417">
        <v>-2180</v>
      </c>
      <c r="H37" s="417">
        <v>-5229</v>
      </c>
      <c r="I37" s="417">
        <v>-13050</v>
      </c>
      <c r="J37" s="417">
        <v>-21203</v>
      </c>
      <c r="K37" s="418"/>
      <c r="L37" s="417">
        <v>-8485</v>
      </c>
      <c r="M37" s="417">
        <v>-4814</v>
      </c>
      <c r="N37" s="417">
        <v>-1861</v>
      </c>
      <c r="O37" s="417">
        <v>-2311</v>
      </c>
      <c r="P37" s="417">
        <v>-17471</v>
      </c>
      <c r="Q37" s="418"/>
      <c r="R37" s="417">
        <v>-665</v>
      </c>
      <c r="S37" s="417">
        <v>-1012</v>
      </c>
      <c r="T37" s="417">
        <v>-977</v>
      </c>
      <c r="U37" s="417">
        <v>-3272</v>
      </c>
      <c r="V37" s="417">
        <v>-5926</v>
      </c>
      <c r="W37" s="418"/>
      <c r="X37" s="417">
        <v>-9556</v>
      </c>
      <c r="Y37" s="417">
        <v>8168</v>
      </c>
      <c r="Z37" s="417">
        <v>-787</v>
      </c>
      <c r="AA37" s="417">
        <v>-5360</v>
      </c>
      <c r="AB37" s="417">
        <v>-7535</v>
      </c>
      <c r="AC37" s="418"/>
      <c r="AD37" s="417">
        <v>-3108</v>
      </c>
      <c r="AE37" s="417">
        <v>-3355</v>
      </c>
      <c r="AF37" s="417">
        <v>2738</v>
      </c>
      <c r="AG37" s="417">
        <v>-3473</v>
      </c>
      <c r="AH37" s="417">
        <v>-7198</v>
      </c>
      <c r="AI37" s="418"/>
      <c r="AJ37" s="417">
        <v>-1861</v>
      </c>
      <c r="AK37" s="417">
        <v>-924</v>
      </c>
      <c r="AL37" s="417">
        <v>-1357</v>
      </c>
      <c r="AM37" s="417">
        <v>-4090</v>
      </c>
      <c r="AN37" s="417">
        <v>-8232</v>
      </c>
      <c r="AO37" s="418"/>
      <c r="AP37" s="417">
        <v>-679</v>
      </c>
      <c r="AQ37" s="417">
        <v>-179</v>
      </c>
      <c r="AR37" s="417">
        <v>-245</v>
      </c>
      <c r="AS37" s="417">
        <v>-1527</v>
      </c>
      <c r="AT37" s="417">
        <v>-2630</v>
      </c>
    </row>
    <row r="38" spans="1:46" s="1" customFormat="1" ht="15" customHeight="1" x14ac:dyDescent="0.2">
      <c r="A38" s="125" t="str">
        <f>IF(Contents!$A$1=2,"Proceeds from sale of financial assets","Поступления от реализации финансовых активов")</f>
        <v>Поступления от реализации финансовых активов</v>
      </c>
      <c r="B38" s="271" t="str">
        <f>IF(Contents!$A$1=2,"mln RUB","млн руб.")</f>
        <v>млн руб.</v>
      </c>
      <c r="C38" s="123"/>
      <c r="D38" s="417">
        <v>6256</v>
      </c>
      <c r="E38" s="418"/>
      <c r="F38" s="417">
        <v>129</v>
      </c>
      <c r="G38" s="417">
        <v>5375</v>
      </c>
      <c r="H38" s="417">
        <v>4329</v>
      </c>
      <c r="I38" s="417">
        <v>10004</v>
      </c>
      <c r="J38" s="417">
        <v>19837</v>
      </c>
      <c r="K38" s="418"/>
      <c r="L38" s="417">
        <v>245</v>
      </c>
      <c r="M38" s="417">
        <v>5406</v>
      </c>
      <c r="N38" s="417">
        <v>3278</v>
      </c>
      <c r="O38" s="417">
        <v>4354</v>
      </c>
      <c r="P38" s="417">
        <v>13283</v>
      </c>
      <c r="Q38" s="418"/>
      <c r="R38" s="417">
        <v>2894</v>
      </c>
      <c r="S38" s="417">
        <v>3048</v>
      </c>
      <c r="T38" s="417">
        <v>3001</v>
      </c>
      <c r="U38" s="417">
        <v>3366</v>
      </c>
      <c r="V38" s="417">
        <v>12309</v>
      </c>
      <c r="W38" s="418"/>
      <c r="X38" s="417">
        <v>2595</v>
      </c>
      <c r="Y38" s="417">
        <v>11772</v>
      </c>
      <c r="Z38" s="417">
        <v>-2496</v>
      </c>
      <c r="AA38" s="417">
        <v>24438</v>
      </c>
      <c r="AB38" s="417">
        <v>36309</v>
      </c>
      <c r="AC38" s="418"/>
      <c r="AD38" s="417">
        <v>6161</v>
      </c>
      <c r="AE38" s="417">
        <v>5443</v>
      </c>
      <c r="AF38" s="417">
        <v>1567</v>
      </c>
      <c r="AG38" s="417">
        <v>4603</v>
      </c>
      <c r="AH38" s="417">
        <v>17774</v>
      </c>
      <c r="AI38" s="418"/>
      <c r="AJ38" s="417">
        <v>4233</v>
      </c>
      <c r="AK38" s="417">
        <v>4025</v>
      </c>
      <c r="AL38" s="417">
        <v>4342</v>
      </c>
      <c r="AM38" s="417">
        <v>-277</v>
      </c>
      <c r="AN38" s="417">
        <v>12323</v>
      </c>
      <c r="AO38" s="418"/>
      <c r="AP38" s="417">
        <v>62</v>
      </c>
      <c r="AQ38" s="417">
        <v>1855</v>
      </c>
      <c r="AR38" s="417">
        <v>497</v>
      </c>
      <c r="AS38" s="417">
        <v>2659</v>
      </c>
      <c r="AT38" s="417">
        <v>5073</v>
      </c>
    </row>
    <row r="39" spans="1:46" s="1" customFormat="1" ht="15" customHeight="1" x14ac:dyDescent="0.2">
      <c r="A39" s="125" t="str">
        <f>IF(Contents!$A$1=2,"Sale of subsidiaries, net of cash disposed","Реализация дочерних компаний, без учета выбывших денежных средств")</f>
        <v>Реализация дочерних компаний, без учета выбывших денежных средств</v>
      </c>
      <c r="B39" s="271" t="str">
        <f>IF(Contents!$A$1=2,"mln RUB","млн руб.")</f>
        <v>млн руб.</v>
      </c>
      <c r="C39" s="123"/>
      <c r="D39" s="417">
        <v>6043</v>
      </c>
      <c r="E39" s="418"/>
      <c r="F39" s="417">
        <v>117</v>
      </c>
      <c r="G39" s="417">
        <v>2601</v>
      </c>
      <c r="H39" s="417">
        <v>1119</v>
      </c>
      <c r="I39" s="417">
        <v>-33</v>
      </c>
      <c r="J39" s="417">
        <v>3804</v>
      </c>
      <c r="K39" s="418"/>
      <c r="L39" s="417">
        <v>-912</v>
      </c>
      <c r="M39" s="417">
        <v>2326</v>
      </c>
      <c r="N39" s="417">
        <v>-877</v>
      </c>
      <c r="O39" s="417">
        <v>370</v>
      </c>
      <c r="P39" s="417">
        <v>907</v>
      </c>
      <c r="Q39" s="418"/>
      <c r="R39" s="417">
        <v>875</v>
      </c>
      <c r="S39" s="417">
        <v>80814</v>
      </c>
      <c r="T39" s="417">
        <v>-651</v>
      </c>
      <c r="U39" s="417">
        <v>-99</v>
      </c>
      <c r="V39" s="417">
        <v>80939</v>
      </c>
      <c r="W39" s="418"/>
      <c r="X39" s="417">
        <v>0</v>
      </c>
      <c r="Y39" s="417">
        <v>0</v>
      </c>
      <c r="Z39" s="417">
        <v>0</v>
      </c>
      <c r="AA39" s="417">
        <v>0</v>
      </c>
      <c r="AB39" s="417">
        <v>0</v>
      </c>
      <c r="AC39" s="418"/>
      <c r="AD39" s="417">
        <v>0</v>
      </c>
      <c r="AE39" s="417">
        <v>719</v>
      </c>
      <c r="AF39" s="417">
        <v>8542</v>
      </c>
      <c r="AG39" s="417">
        <v>0</v>
      </c>
      <c r="AH39" s="417">
        <v>9261</v>
      </c>
      <c r="AI39" s="418"/>
      <c r="AJ39" s="417">
        <v>0</v>
      </c>
      <c r="AK39" s="417">
        <v>0</v>
      </c>
      <c r="AL39" s="417">
        <v>0</v>
      </c>
      <c r="AM39" s="417">
        <v>17</v>
      </c>
      <c r="AN39" s="417">
        <v>17</v>
      </c>
      <c r="AO39" s="418"/>
      <c r="AP39" s="417">
        <v>0</v>
      </c>
      <c r="AQ39" s="417">
        <v>193</v>
      </c>
      <c r="AR39" s="417">
        <v>0</v>
      </c>
      <c r="AS39" s="417">
        <v>0</v>
      </c>
      <c r="AT39" s="417">
        <v>193</v>
      </c>
    </row>
    <row r="40" spans="1:46" s="1" customFormat="1" ht="15" customHeight="1" x14ac:dyDescent="0.2">
      <c r="A40" s="125" t="str">
        <f>IF(Contents!$A$1=2,"Sale of associates","Реализация долей в ассоциированных организациях")</f>
        <v>Реализация долей в ассоциированных организациях</v>
      </c>
      <c r="B40" s="271" t="str">
        <f>IF(Contents!$A$1=2,"mln RUB","млн руб.")</f>
        <v>млн руб.</v>
      </c>
      <c r="C40" s="123"/>
      <c r="D40" s="417">
        <v>8</v>
      </c>
      <c r="E40" s="418"/>
      <c r="F40" s="417">
        <v>0</v>
      </c>
      <c r="G40" s="417">
        <v>9410</v>
      </c>
      <c r="H40" s="417">
        <v>69917</v>
      </c>
      <c r="I40" s="417">
        <v>1</v>
      </c>
      <c r="J40" s="417">
        <v>79328</v>
      </c>
      <c r="K40" s="418"/>
      <c r="L40" s="417">
        <v>0</v>
      </c>
      <c r="M40" s="417">
        <v>0</v>
      </c>
      <c r="N40" s="417">
        <v>0</v>
      </c>
      <c r="O40" s="417">
        <v>4940</v>
      </c>
      <c r="P40" s="417">
        <v>4940</v>
      </c>
      <c r="Q40" s="418"/>
      <c r="R40" s="417">
        <v>294</v>
      </c>
      <c r="S40" s="417">
        <v>181</v>
      </c>
      <c r="T40" s="417">
        <v>0</v>
      </c>
      <c r="U40" s="417">
        <v>482</v>
      </c>
      <c r="V40" s="417">
        <v>957</v>
      </c>
      <c r="W40" s="418"/>
      <c r="X40" s="417">
        <v>0</v>
      </c>
      <c r="Y40" s="417">
        <v>0</v>
      </c>
      <c r="Z40" s="417">
        <v>0</v>
      </c>
      <c r="AA40" s="417">
        <v>0</v>
      </c>
      <c r="AB40" s="417">
        <v>0</v>
      </c>
      <c r="AC40" s="418"/>
      <c r="AD40" s="417">
        <v>0</v>
      </c>
      <c r="AE40" s="417">
        <v>0</v>
      </c>
      <c r="AF40" s="417">
        <v>170</v>
      </c>
      <c r="AG40" s="417">
        <v>89</v>
      </c>
      <c r="AH40" s="417">
        <v>259</v>
      </c>
      <c r="AI40" s="418"/>
      <c r="AJ40" s="417">
        <v>0</v>
      </c>
      <c r="AK40" s="417">
        <v>0</v>
      </c>
      <c r="AL40" s="417">
        <v>0</v>
      </c>
      <c r="AM40" s="417">
        <v>312</v>
      </c>
      <c r="AN40" s="417">
        <v>312</v>
      </c>
      <c r="AO40" s="418"/>
      <c r="AP40" s="417">
        <v>83</v>
      </c>
      <c r="AQ40" s="417">
        <v>0</v>
      </c>
      <c r="AR40" s="417">
        <v>0</v>
      </c>
      <c r="AS40" s="417">
        <v>0</v>
      </c>
      <c r="AT40" s="417">
        <v>83</v>
      </c>
    </row>
    <row r="41" spans="1:46" s="1" customFormat="1" ht="15" customHeight="1" x14ac:dyDescent="0.2">
      <c r="A41" s="125" t="str">
        <f>IF(Contents!$A$1=2,"Acquisitions of interests in the projects and subsidiaries, net of cash acquired","Приобретение долей участия в проектах и дочерних компаний, без учета приобретенных денежных средств")</f>
        <v>Приобретение долей участия в проектах и дочерних компаний, без учета приобретенных денежных средств</v>
      </c>
      <c r="B41" s="271" t="str">
        <f>IF(Contents!$A$1=2,"mln RUB","млн руб.")</f>
        <v>млн руб.</v>
      </c>
      <c r="C41" s="123"/>
      <c r="D41" s="417">
        <v>11246</v>
      </c>
      <c r="E41" s="418"/>
      <c r="F41" s="418">
        <v>-205</v>
      </c>
      <c r="G41" s="418">
        <v>-67</v>
      </c>
      <c r="H41" s="418">
        <v>-393</v>
      </c>
      <c r="I41" s="418">
        <v>-836</v>
      </c>
      <c r="J41" s="417">
        <v>-1501</v>
      </c>
      <c r="K41" s="418"/>
      <c r="L41" s="418">
        <v>-1178</v>
      </c>
      <c r="M41" s="417">
        <v>1178</v>
      </c>
      <c r="N41" s="417">
        <v>0</v>
      </c>
      <c r="O41" s="417">
        <v>0</v>
      </c>
      <c r="P41" s="417">
        <v>0</v>
      </c>
      <c r="Q41" s="418"/>
      <c r="R41" s="418">
        <v>0</v>
      </c>
      <c r="S41" s="418">
        <v>0</v>
      </c>
      <c r="T41" s="418">
        <v>-3369</v>
      </c>
      <c r="U41" s="417">
        <v>-4022</v>
      </c>
      <c r="V41" s="417">
        <v>-7391</v>
      </c>
      <c r="W41" s="418"/>
      <c r="X41" s="418">
        <v>0</v>
      </c>
      <c r="Y41" s="418">
        <v>0</v>
      </c>
      <c r="Z41" s="418">
        <v>0</v>
      </c>
      <c r="AA41" s="417">
        <v>0</v>
      </c>
      <c r="AB41" s="417">
        <v>0</v>
      </c>
      <c r="AC41" s="418"/>
      <c r="AD41" s="417">
        <v>-3666</v>
      </c>
      <c r="AE41" s="417">
        <v>-3798</v>
      </c>
      <c r="AF41" s="417">
        <v>-47591</v>
      </c>
      <c r="AG41" s="417">
        <v>-16638</v>
      </c>
      <c r="AH41" s="417">
        <v>-71693</v>
      </c>
      <c r="AI41" s="418"/>
      <c r="AJ41" s="417">
        <v>-1040</v>
      </c>
      <c r="AK41" s="417">
        <v>0</v>
      </c>
      <c r="AL41" s="417">
        <v>0</v>
      </c>
      <c r="AM41" s="417">
        <v>0</v>
      </c>
      <c r="AN41" s="417">
        <v>-1040</v>
      </c>
      <c r="AO41" s="418"/>
      <c r="AP41" s="417">
        <v>0</v>
      </c>
      <c r="AQ41" s="417">
        <v>-990</v>
      </c>
      <c r="AR41" s="417">
        <v>-3203</v>
      </c>
      <c r="AS41" s="417">
        <v>-6718</v>
      </c>
      <c r="AT41" s="417">
        <v>-10911</v>
      </c>
    </row>
    <row r="42" spans="1:46" s="1" customFormat="1" ht="15" customHeight="1" x14ac:dyDescent="0.2">
      <c r="A42" s="125" t="str">
        <f>IF(Contents!$A$1=2,"Acquisitions of associates","Приобретение долей в ассоциированных организациях")</f>
        <v>Приобретение долей в ассоциированных организациях</v>
      </c>
      <c r="B42" s="271" t="str">
        <f>IF(Contents!$A$1=2,"mln RUB","млн руб.")</f>
        <v>млн руб.</v>
      </c>
      <c r="C42" s="123"/>
      <c r="D42" s="417">
        <v>-10713</v>
      </c>
      <c r="E42" s="418"/>
      <c r="F42" s="418">
        <v>-1752</v>
      </c>
      <c r="G42" s="418">
        <v>-1547</v>
      </c>
      <c r="H42" s="418">
        <v>-1100</v>
      </c>
      <c r="I42" s="418">
        <v>-2161</v>
      </c>
      <c r="J42" s="417">
        <v>-6560</v>
      </c>
      <c r="K42" s="418"/>
      <c r="L42" s="418">
        <v>-507</v>
      </c>
      <c r="M42" s="417">
        <v>-1326</v>
      </c>
      <c r="N42" s="417">
        <v>-1383</v>
      </c>
      <c r="O42" s="417">
        <v>-1196</v>
      </c>
      <c r="P42" s="417">
        <v>-4412</v>
      </c>
      <c r="Q42" s="418"/>
      <c r="R42" s="418">
        <v>-1277</v>
      </c>
      <c r="S42" s="418">
        <v>-716</v>
      </c>
      <c r="T42" s="418">
        <v>-939</v>
      </c>
      <c r="U42" s="417">
        <v>-783</v>
      </c>
      <c r="V42" s="417">
        <v>-3715</v>
      </c>
      <c r="W42" s="418"/>
      <c r="X42" s="418">
        <v>-641</v>
      </c>
      <c r="Y42" s="418">
        <v>-737</v>
      </c>
      <c r="Z42" s="418">
        <v>-590</v>
      </c>
      <c r="AA42" s="417">
        <v>-284</v>
      </c>
      <c r="AB42" s="417">
        <v>-2252</v>
      </c>
      <c r="AC42" s="418"/>
      <c r="AD42" s="417">
        <v>-317</v>
      </c>
      <c r="AE42" s="417">
        <v>-637</v>
      </c>
      <c r="AF42" s="417">
        <v>-20</v>
      </c>
      <c r="AG42" s="417">
        <v>-414</v>
      </c>
      <c r="AH42" s="417">
        <v>-1388</v>
      </c>
      <c r="AI42" s="418"/>
      <c r="AJ42" s="417">
        <v>-795</v>
      </c>
      <c r="AK42" s="417">
        <v>-307</v>
      </c>
      <c r="AL42" s="417">
        <v>0</v>
      </c>
      <c r="AM42" s="417">
        <v>-26</v>
      </c>
      <c r="AN42" s="417">
        <v>-1128</v>
      </c>
      <c r="AO42" s="418"/>
      <c r="AP42" s="417">
        <v>0</v>
      </c>
      <c r="AQ42" s="417">
        <v>-289</v>
      </c>
      <c r="AR42" s="417">
        <v>0</v>
      </c>
      <c r="AS42" s="417">
        <v>-612</v>
      </c>
      <c r="AT42" s="417">
        <v>-901</v>
      </c>
    </row>
    <row r="43" spans="1:46" s="1" customFormat="1" ht="15" customHeight="1" x14ac:dyDescent="0.2">
      <c r="A43" s="90" t="str">
        <f>IF(Contents!$A$1=2,"Net cash used in investing activities","Чистые денежные средства, использованные в инвестиционной деятельности")</f>
        <v>Чистые денежные средства, использованные в инвестиционной деятельности</v>
      </c>
      <c r="B43" s="270" t="str">
        <f>IF(Contents!$A$1=2,"mln RUB","млн руб.")</f>
        <v>млн руб.</v>
      </c>
      <c r="C43" s="82"/>
      <c r="D43" s="420">
        <v>-578374</v>
      </c>
      <c r="E43" s="426"/>
      <c r="F43" s="420">
        <v>-164071</v>
      </c>
      <c r="G43" s="420">
        <v>-126797</v>
      </c>
      <c r="H43" s="420">
        <v>-74333</v>
      </c>
      <c r="I43" s="420">
        <v>-160521</v>
      </c>
      <c r="J43" s="420">
        <v>-525722</v>
      </c>
      <c r="K43" s="426"/>
      <c r="L43" s="420">
        <v>-138393</v>
      </c>
      <c r="M43" s="420">
        <v>-120122</v>
      </c>
      <c r="N43" s="420">
        <v>-108671</v>
      </c>
      <c r="O43" s="420">
        <v>-133157</v>
      </c>
      <c r="P43" s="420">
        <v>-500343</v>
      </c>
      <c r="Q43" s="426"/>
      <c r="R43" s="420">
        <v>-127948</v>
      </c>
      <c r="S43" s="420">
        <v>-41938</v>
      </c>
      <c r="T43" s="420">
        <v>-121430</v>
      </c>
      <c r="U43" s="420">
        <v>-141970</v>
      </c>
      <c r="V43" s="420">
        <v>-433286</v>
      </c>
      <c r="W43" s="426"/>
      <c r="X43" s="420">
        <v>-128400</v>
      </c>
      <c r="Y43" s="420">
        <v>-85912</v>
      </c>
      <c r="Z43" s="420">
        <v>-115147</v>
      </c>
      <c r="AA43" s="420">
        <v>-90933</v>
      </c>
      <c r="AB43" s="420">
        <v>-420392</v>
      </c>
      <c r="AC43" s="426"/>
      <c r="AD43" s="420">
        <v>-99551</v>
      </c>
      <c r="AE43" s="420">
        <v>-109612</v>
      </c>
      <c r="AF43" s="420">
        <v>-143238</v>
      </c>
      <c r="AG43" s="420">
        <v>-157725</v>
      </c>
      <c r="AH43" s="420">
        <v>-510126</v>
      </c>
      <c r="AI43" s="426"/>
      <c r="AJ43" s="420">
        <v>-129718</v>
      </c>
      <c r="AK43" s="420">
        <v>-114324</v>
      </c>
      <c r="AL43" s="420">
        <v>-109703</v>
      </c>
      <c r="AM43" s="420">
        <v>-139024</v>
      </c>
      <c r="AN43" s="420">
        <v>-492769</v>
      </c>
      <c r="AO43" s="426"/>
      <c r="AP43" s="420">
        <v>-104692</v>
      </c>
      <c r="AQ43" s="420">
        <v>-102882</v>
      </c>
      <c r="AR43" s="420">
        <v>-97286</v>
      </c>
      <c r="AS43" s="420">
        <v>-133195</v>
      </c>
      <c r="AT43" s="420">
        <v>-438055</v>
      </c>
    </row>
    <row r="44" spans="1:46" s="1" customFormat="1" ht="15" customHeight="1" x14ac:dyDescent="0.2">
      <c r="A44" s="94" t="str">
        <f>IF(Contents!$A$1=2,"Cash flows from financing activities","Движение денежных средств от финансовой деятельности")</f>
        <v>Движение денежных средств от финансовой деятельности</v>
      </c>
      <c r="B44" s="271"/>
      <c r="C44" s="82"/>
      <c r="D44" s="417"/>
      <c r="E44" s="418"/>
      <c r="F44" s="417"/>
      <c r="G44" s="417"/>
      <c r="H44" s="417"/>
      <c r="I44" s="417"/>
      <c r="J44" s="417"/>
      <c r="K44" s="418"/>
      <c r="L44" s="417"/>
      <c r="M44" s="417"/>
      <c r="N44" s="417"/>
      <c r="O44" s="417"/>
      <c r="P44" s="417"/>
      <c r="Q44" s="418"/>
      <c r="R44" s="417"/>
      <c r="S44" s="417"/>
      <c r="T44" s="417"/>
      <c r="U44" s="417"/>
      <c r="V44" s="417"/>
      <c r="W44" s="418"/>
      <c r="X44" s="417"/>
      <c r="Y44" s="417"/>
      <c r="Z44" s="417"/>
      <c r="AA44" s="417"/>
      <c r="AB44" s="417"/>
      <c r="AC44" s="418"/>
      <c r="AD44" s="417"/>
      <c r="AE44" s="417"/>
      <c r="AF44" s="417"/>
      <c r="AG44" s="417"/>
      <c r="AH44" s="417"/>
      <c r="AI44" s="418"/>
      <c r="AJ44" s="417"/>
      <c r="AK44" s="417"/>
      <c r="AL44" s="417"/>
      <c r="AM44" s="417"/>
      <c r="AN44" s="417"/>
      <c r="AO44" s="418"/>
      <c r="AP44" s="417"/>
      <c r="AQ44" s="417"/>
      <c r="AR44" s="417"/>
      <c r="AS44" s="417"/>
      <c r="AT44" s="417"/>
    </row>
    <row r="45" spans="1:46" s="1" customFormat="1" ht="15" customHeight="1" x14ac:dyDescent="0.2">
      <c r="A45" s="125" t="str">
        <f>IF(Contents!$A$1=2,"Proceeds from issuance of short-term borrowings","Поступление краткосрочных кредитов и займов")</f>
        <v>Поступление краткосрочных кредитов и займов</v>
      </c>
      <c r="B45" s="271" t="str">
        <f>IF(Contents!$A$1=2,"mln RUB","млн руб.")</f>
        <v>млн руб.</v>
      </c>
      <c r="C45" s="123"/>
      <c r="D45" s="417">
        <v>173641</v>
      </c>
      <c r="E45" s="418"/>
      <c r="F45" s="417">
        <v>14402</v>
      </c>
      <c r="G45" s="417">
        <v>57157</v>
      </c>
      <c r="H45" s="417">
        <v>13321</v>
      </c>
      <c r="I45" s="417">
        <v>-8802</v>
      </c>
      <c r="J45" s="417">
        <v>76078</v>
      </c>
      <c r="K45" s="418"/>
      <c r="L45" s="417">
        <v>38235</v>
      </c>
      <c r="M45" s="417">
        <v>8706</v>
      </c>
      <c r="N45" s="417">
        <v>-7141</v>
      </c>
      <c r="O45" s="417">
        <v>-27351</v>
      </c>
      <c r="P45" s="417">
        <v>12449</v>
      </c>
      <c r="Q45" s="418"/>
      <c r="R45" s="417">
        <v>12036</v>
      </c>
      <c r="S45" s="417">
        <v>-7427</v>
      </c>
      <c r="T45" s="417">
        <v>-699</v>
      </c>
      <c r="U45" s="417">
        <v>5616</v>
      </c>
      <c r="V45" s="417">
        <v>9526</v>
      </c>
      <c r="W45" s="418"/>
      <c r="X45" s="417">
        <v>2571</v>
      </c>
      <c r="Y45" s="417">
        <v>26366</v>
      </c>
      <c r="Z45" s="417">
        <v>-7887</v>
      </c>
      <c r="AA45" s="417">
        <v>-1548</v>
      </c>
      <c r="AB45" s="417">
        <v>19502</v>
      </c>
      <c r="AC45" s="418"/>
      <c r="AD45" s="417">
        <v>142</v>
      </c>
      <c r="AE45" s="417">
        <v>1075</v>
      </c>
      <c r="AF45" s="417">
        <v>1072</v>
      </c>
      <c r="AG45" s="417">
        <v>-2025</v>
      </c>
      <c r="AH45" s="417">
        <v>264</v>
      </c>
      <c r="AI45" s="418"/>
      <c r="AJ45" s="417">
        <v>4599</v>
      </c>
      <c r="AK45" s="417">
        <v>75594</v>
      </c>
      <c r="AL45" s="417">
        <v>-75225</v>
      </c>
      <c r="AM45" s="417">
        <v>-2997</v>
      </c>
      <c r="AN45" s="417">
        <v>1971</v>
      </c>
      <c r="AO45" s="418"/>
      <c r="AP45" s="417">
        <v>2527</v>
      </c>
      <c r="AQ45" s="417">
        <v>6355</v>
      </c>
      <c r="AR45" s="417">
        <v>-7584</v>
      </c>
      <c r="AS45" s="417">
        <v>-279</v>
      </c>
      <c r="AT45" s="417">
        <v>1019</v>
      </c>
    </row>
    <row r="46" spans="1:46" s="1" customFormat="1" ht="15" customHeight="1" x14ac:dyDescent="0.2">
      <c r="A46" s="125" t="str">
        <f>IF(Contents!$A$1=2,"Principal repayments of short-term borrowings","Погашение краткосрочных кредитов и займов")</f>
        <v>Погашение краткосрочных кредитов и займов</v>
      </c>
      <c r="B46" s="271" t="str">
        <f>IF(Contents!$A$1=2,"mln RUB","млн руб.")</f>
        <v>млн руб.</v>
      </c>
      <c r="C46" s="123"/>
      <c r="D46" s="417">
        <v>-163790</v>
      </c>
      <c r="E46" s="418"/>
      <c r="F46" s="417">
        <v>-15744</v>
      </c>
      <c r="G46" s="417">
        <v>-10703</v>
      </c>
      <c r="H46" s="417">
        <v>-42491</v>
      </c>
      <c r="I46" s="417">
        <v>-7735</v>
      </c>
      <c r="J46" s="417">
        <v>-76673</v>
      </c>
      <c r="K46" s="418"/>
      <c r="L46" s="417">
        <v>-9228</v>
      </c>
      <c r="M46" s="417">
        <v>-2950</v>
      </c>
      <c r="N46" s="417">
        <v>-5120</v>
      </c>
      <c r="O46" s="417">
        <v>-6011</v>
      </c>
      <c r="P46" s="417">
        <v>-23309</v>
      </c>
      <c r="Q46" s="418"/>
      <c r="R46" s="417">
        <v>-5399</v>
      </c>
      <c r="S46" s="417">
        <v>-1667</v>
      </c>
      <c r="T46" s="417">
        <v>-148</v>
      </c>
      <c r="U46" s="417">
        <v>-361</v>
      </c>
      <c r="V46" s="417">
        <v>-7575</v>
      </c>
      <c r="W46" s="418"/>
      <c r="X46" s="417">
        <v>-5410</v>
      </c>
      <c r="Y46" s="417">
        <v>-4072</v>
      </c>
      <c r="Z46" s="417">
        <v>-2660</v>
      </c>
      <c r="AA46" s="417">
        <v>1233</v>
      </c>
      <c r="AB46" s="417">
        <v>-10909</v>
      </c>
      <c r="AC46" s="418"/>
      <c r="AD46" s="417">
        <v>-7564</v>
      </c>
      <c r="AE46" s="417">
        <v>2077</v>
      </c>
      <c r="AF46" s="417">
        <v>-316</v>
      </c>
      <c r="AG46" s="417">
        <v>-383</v>
      </c>
      <c r="AH46" s="417">
        <v>-6186</v>
      </c>
      <c r="AI46" s="418"/>
      <c r="AJ46" s="417">
        <v>-102</v>
      </c>
      <c r="AK46" s="417">
        <v>-732</v>
      </c>
      <c r="AL46" s="417">
        <v>135</v>
      </c>
      <c r="AM46" s="417">
        <v>-116</v>
      </c>
      <c r="AN46" s="417">
        <v>-815</v>
      </c>
      <c r="AO46" s="418"/>
      <c r="AP46" s="417">
        <v>-229</v>
      </c>
      <c r="AQ46" s="417">
        <v>4</v>
      </c>
      <c r="AR46" s="417">
        <v>-4394</v>
      </c>
      <c r="AS46" s="417">
        <v>-6493</v>
      </c>
      <c r="AT46" s="417">
        <v>-11112</v>
      </c>
    </row>
    <row r="47" spans="1:46" s="1" customFormat="1" ht="15" customHeight="1" x14ac:dyDescent="0.2">
      <c r="A47" s="125" t="str">
        <f>IF(Contents!$A$1=2,"Proceeds from issuance of long-term debt","Поступление долгосрочных кредитов и займов")</f>
        <v>Поступление долгосрочных кредитов и займов</v>
      </c>
      <c r="B47" s="271" t="str">
        <f>IF(Contents!$A$1=2,"mln RUB","млн руб.")</f>
        <v>млн руб.</v>
      </c>
      <c r="C47" s="123"/>
      <c r="D47" s="417">
        <v>160325</v>
      </c>
      <c r="E47" s="418"/>
      <c r="F47" s="417">
        <v>215</v>
      </c>
      <c r="G47" s="417">
        <v>19187</v>
      </c>
      <c r="H47" s="417">
        <v>51009</v>
      </c>
      <c r="I47" s="417">
        <v>34022</v>
      </c>
      <c r="J47" s="417">
        <v>104433</v>
      </c>
      <c r="K47" s="418"/>
      <c r="L47" s="417">
        <v>79776</v>
      </c>
      <c r="M47" s="417">
        <v>9500</v>
      </c>
      <c r="N47" s="417">
        <v>0</v>
      </c>
      <c r="O47" s="417">
        <v>99408</v>
      </c>
      <c r="P47" s="417">
        <v>188684</v>
      </c>
      <c r="Q47" s="418"/>
      <c r="R47" s="417">
        <v>36559</v>
      </c>
      <c r="S47" s="417">
        <v>31490</v>
      </c>
      <c r="T47" s="417">
        <v>0</v>
      </c>
      <c r="U47" s="417">
        <v>0</v>
      </c>
      <c r="V47" s="417">
        <v>68049</v>
      </c>
      <c r="W47" s="418"/>
      <c r="X47" s="417">
        <v>0</v>
      </c>
      <c r="Y47" s="417">
        <v>0</v>
      </c>
      <c r="Z47" s="417">
        <v>39840</v>
      </c>
      <c r="AA47" s="417">
        <v>-54</v>
      </c>
      <c r="AB47" s="417">
        <v>39786</v>
      </c>
      <c r="AC47" s="418"/>
      <c r="AD47" s="417">
        <v>0</v>
      </c>
      <c r="AE47" s="417">
        <v>0</v>
      </c>
      <c r="AF47" s="417">
        <v>0</v>
      </c>
      <c r="AG47" s="417">
        <v>0</v>
      </c>
      <c r="AH47" s="417">
        <v>0</v>
      </c>
      <c r="AI47" s="418"/>
      <c r="AJ47" s="417">
        <v>0</v>
      </c>
      <c r="AK47" s="417">
        <v>108250</v>
      </c>
      <c r="AL47" s="417">
        <v>0</v>
      </c>
      <c r="AM47" s="417">
        <v>546</v>
      </c>
      <c r="AN47" s="417">
        <v>108796</v>
      </c>
      <c r="AO47" s="418"/>
      <c r="AP47" s="417">
        <v>417</v>
      </c>
      <c r="AQ47" s="417">
        <v>689</v>
      </c>
      <c r="AR47" s="417">
        <v>24789</v>
      </c>
      <c r="AS47" s="417">
        <v>161466</v>
      </c>
      <c r="AT47" s="417">
        <v>187361</v>
      </c>
    </row>
    <row r="48" spans="1:46" s="1" customFormat="1" ht="15" customHeight="1" x14ac:dyDescent="0.2">
      <c r="A48" s="125" t="str">
        <f>IF(Contents!$A$1=2,"Principal repayments of long-term debt","Погашение долгосрочных кредитов и займов")</f>
        <v>Погашение долгосрочных кредитов и займов</v>
      </c>
      <c r="B48" s="271" t="str">
        <f>IF(Contents!$A$1=2,"mln RUB","млн руб.")</f>
        <v>млн руб.</v>
      </c>
      <c r="C48" s="123"/>
      <c r="D48" s="417">
        <v>-63396</v>
      </c>
      <c r="E48" s="418"/>
      <c r="F48" s="417">
        <v>-2702</v>
      </c>
      <c r="G48" s="417">
        <v>-91553</v>
      </c>
      <c r="H48" s="417">
        <v>-11536</v>
      </c>
      <c r="I48" s="417">
        <v>-92366</v>
      </c>
      <c r="J48" s="417">
        <v>-198157</v>
      </c>
      <c r="K48" s="418"/>
      <c r="L48" s="417">
        <v>-2408</v>
      </c>
      <c r="M48" s="417">
        <v>-11642</v>
      </c>
      <c r="N48" s="417">
        <v>-672</v>
      </c>
      <c r="O48" s="417">
        <v>-174870</v>
      </c>
      <c r="P48" s="417">
        <v>-189592</v>
      </c>
      <c r="Q48" s="418"/>
      <c r="R48" s="417">
        <v>-35359</v>
      </c>
      <c r="S48" s="417">
        <v>-69688</v>
      </c>
      <c r="T48" s="417">
        <v>-681</v>
      </c>
      <c r="U48" s="417">
        <v>-21878</v>
      </c>
      <c r="V48" s="417">
        <v>-127606</v>
      </c>
      <c r="W48" s="418"/>
      <c r="X48" s="417">
        <v>-2266</v>
      </c>
      <c r="Y48" s="417">
        <v>-143202</v>
      </c>
      <c r="Z48" s="417">
        <v>-51246</v>
      </c>
      <c r="AA48" s="417">
        <v>-60057</v>
      </c>
      <c r="AB48" s="417">
        <v>-256771</v>
      </c>
      <c r="AC48" s="418"/>
      <c r="AD48" s="417">
        <v>-13486</v>
      </c>
      <c r="AE48" s="417">
        <v>-16910</v>
      </c>
      <c r="AF48" s="417">
        <v>-14051</v>
      </c>
      <c r="AG48" s="417">
        <v>-62178</v>
      </c>
      <c r="AH48" s="417">
        <v>-106625</v>
      </c>
      <c r="AI48" s="418"/>
      <c r="AJ48" s="417">
        <v>-15141</v>
      </c>
      <c r="AK48" s="417">
        <v>-30205</v>
      </c>
      <c r="AL48" s="417">
        <v>-20884</v>
      </c>
      <c r="AM48" s="417">
        <v>-105750</v>
      </c>
      <c r="AN48" s="417">
        <v>-171980</v>
      </c>
      <c r="AO48" s="418"/>
      <c r="AP48" s="417">
        <v>-27930</v>
      </c>
      <c r="AQ48" s="417">
        <v>-20286</v>
      </c>
      <c r="AR48" s="417">
        <v>-13959</v>
      </c>
      <c r="AS48" s="417">
        <v>-63207</v>
      </c>
      <c r="AT48" s="417">
        <v>-125382</v>
      </c>
    </row>
    <row r="49" spans="1:46" s="206" customFormat="1" ht="15" customHeight="1" x14ac:dyDescent="0.2">
      <c r="A49" s="358" t="str">
        <f>IF(Contents!$A$1=2,"including principal repayments of long-term debt","в том числе погошение обязательств по аренде")</f>
        <v>в том числе погошение обязательств по аренде</v>
      </c>
      <c r="B49" s="271" t="str">
        <f>IF(Contents!$A$1=2,"mln RUB","млн руб.")</f>
        <v>млн руб.</v>
      </c>
      <c r="C49" s="123"/>
      <c r="D49" s="421">
        <v>0</v>
      </c>
      <c r="E49" s="425"/>
      <c r="F49" s="421">
        <v>0</v>
      </c>
      <c r="G49" s="421">
        <v>0</v>
      </c>
      <c r="H49" s="421">
        <v>0</v>
      </c>
      <c r="I49" s="421">
        <v>0</v>
      </c>
      <c r="J49" s="421">
        <v>0</v>
      </c>
      <c r="K49" s="425"/>
      <c r="L49" s="421">
        <v>0</v>
      </c>
      <c r="M49" s="421">
        <v>0</v>
      </c>
      <c r="N49" s="421">
        <v>0</v>
      </c>
      <c r="O49" s="421">
        <v>0</v>
      </c>
      <c r="P49" s="421">
        <v>0</v>
      </c>
      <c r="Q49" s="425"/>
      <c r="R49" s="421">
        <v>0</v>
      </c>
      <c r="S49" s="421">
        <v>0</v>
      </c>
      <c r="T49" s="421">
        <v>0</v>
      </c>
      <c r="U49" s="421">
        <v>0</v>
      </c>
      <c r="V49" s="421">
        <v>0</v>
      </c>
      <c r="W49" s="421"/>
      <c r="X49" s="421">
        <v>0</v>
      </c>
      <c r="Y49" s="421">
        <v>0</v>
      </c>
      <c r="Z49" s="421">
        <v>0</v>
      </c>
      <c r="AA49" s="421">
        <v>0</v>
      </c>
      <c r="AB49" s="421">
        <v>-2555</v>
      </c>
      <c r="AC49" s="425"/>
      <c r="AD49" s="421">
        <v>-10189</v>
      </c>
      <c r="AE49" s="421">
        <v>-9865</v>
      </c>
      <c r="AF49" s="421">
        <v>-10706</v>
      </c>
      <c r="AG49" s="421">
        <v>-10678</v>
      </c>
      <c r="AH49" s="421">
        <v>-41438</v>
      </c>
      <c r="AI49" s="425"/>
      <c r="AJ49" s="421">
        <v>-11830</v>
      </c>
      <c r="AK49" s="421">
        <v>-18599</v>
      </c>
      <c r="AL49" s="421">
        <v>-17162</v>
      </c>
      <c r="AM49" s="421">
        <v>-15247</v>
      </c>
      <c r="AN49" s="421">
        <v>-62838</v>
      </c>
      <c r="AO49" s="425"/>
      <c r="AP49" s="421">
        <v>-13471</v>
      </c>
      <c r="AQ49" s="421">
        <v>-11114</v>
      </c>
      <c r="AR49" s="421">
        <v>-10339</v>
      </c>
      <c r="AS49" s="421">
        <v>-10300</v>
      </c>
      <c r="AT49" s="421">
        <v>-45224</v>
      </c>
    </row>
    <row r="50" spans="1:46" s="1" customFormat="1" ht="15" customHeight="1" x14ac:dyDescent="0.2">
      <c r="A50" s="125" t="str">
        <f>IF(Contents!$A$1=2,"Interest paid","Проценты уплаченные")</f>
        <v>Проценты уплаченные</v>
      </c>
      <c r="B50" s="271" t="str">
        <f>IF(Contents!$A$1=2,"mln RUB","млн руб.")</f>
        <v>млн руб.</v>
      </c>
      <c r="C50" s="123"/>
      <c r="D50" s="417">
        <v>-22880</v>
      </c>
      <c r="E50" s="418"/>
      <c r="F50" s="417">
        <v>-4468</v>
      </c>
      <c r="G50" s="417">
        <v>-13722</v>
      </c>
      <c r="H50" s="417">
        <v>-6077</v>
      </c>
      <c r="I50" s="417">
        <v>-17092</v>
      </c>
      <c r="J50" s="417">
        <v>-41359</v>
      </c>
      <c r="K50" s="418"/>
      <c r="L50" s="417">
        <v>-5669</v>
      </c>
      <c r="M50" s="417">
        <v>-17905</v>
      </c>
      <c r="N50" s="417">
        <v>-7048</v>
      </c>
      <c r="O50" s="417">
        <v>-19073</v>
      </c>
      <c r="P50" s="417">
        <v>-49695</v>
      </c>
      <c r="Q50" s="418"/>
      <c r="R50" s="417">
        <v>-5201</v>
      </c>
      <c r="S50" s="417">
        <v>-15169</v>
      </c>
      <c r="T50" s="417">
        <v>-3894</v>
      </c>
      <c r="U50" s="417">
        <v>-14608</v>
      </c>
      <c r="V50" s="417">
        <v>-38872</v>
      </c>
      <c r="W50" s="418"/>
      <c r="X50" s="417">
        <v>-3466</v>
      </c>
      <c r="Y50" s="417">
        <v>-15877</v>
      </c>
      <c r="Z50" s="417">
        <v>-3737</v>
      </c>
      <c r="AA50" s="417">
        <v>-16841</v>
      </c>
      <c r="AB50" s="417">
        <v>-39921</v>
      </c>
      <c r="AC50" s="418"/>
      <c r="AD50" s="417">
        <v>-5748</v>
      </c>
      <c r="AE50" s="417">
        <v>-15869</v>
      </c>
      <c r="AF50" s="417">
        <v>-5166</v>
      </c>
      <c r="AG50" s="417">
        <v>-14806</v>
      </c>
      <c r="AH50" s="417">
        <v>-41589</v>
      </c>
      <c r="AI50" s="418"/>
      <c r="AJ50" s="417">
        <v>-4715</v>
      </c>
      <c r="AK50" s="417">
        <v>-14095</v>
      </c>
      <c r="AL50" s="417">
        <v>-4557</v>
      </c>
      <c r="AM50" s="417">
        <v>-15733</v>
      </c>
      <c r="AN50" s="417">
        <v>-39100</v>
      </c>
      <c r="AO50" s="418"/>
      <c r="AP50" s="417">
        <v>-3697</v>
      </c>
      <c r="AQ50" s="417">
        <v>-12345</v>
      </c>
      <c r="AR50" s="417">
        <v>-3566</v>
      </c>
      <c r="AS50" s="417">
        <v>-11215</v>
      </c>
      <c r="AT50" s="417">
        <v>-30823</v>
      </c>
    </row>
    <row r="51" spans="1:46" s="1" customFormat="1" ht="15" customHeight="1" x14ac:dyDescent="0.2">
      <c r="A51" s="125" t="str">
        <f>IF(Contents!$A$1=2,"Dividends paid on Company common shares","Дивиденды, выплаченные по акциям Компании")</f>
        <v>Дивиденды, выплаченные по акциям Компании</v>
      </c>
      <c r="B51" s="271" t="str">
        <f>IF(Contents!$A$1=2,"mln RUB","млн руб.")</f>
        <v>млн руб.</v>
      </c>
      <c r="C51" s="123"/>
      <c r="D51" s="417">
        <v>-49651</v>
      </c>
      <c r="E51" s="418"/>
      <c r="F51" s="417">
        <v>-40919</v>
      </c>
      <c r="G51" s="417">
        <v>-15</v>
      </c>
      <c r="H51" s="417">
        <v>-70912</v>
      </c>
      <c r="I51" s="417">
        <v>-12</v>
      </c>
      <c r="J51" s="417">
        <v>-111858</v>
      </c>
      <c r="K51" s="418"/>
      <c r="L51" s="417">
        <v>-46308</v>
      </c>
      <c r="M51" s="417">
        <v>-16</v>
      </c>
      <c r="N51" s="417">
        <v>-80683</v>
      </c>
      <c r="O51" s="417">
        <v>-338</v>
      </c>
      <c r="P51" s="417">
        <v>-127345</v>
      </c>
      <c r="Q51" s="418"/>
      <c r="R51" s="417">
        <v>-53952</v>
      </c>
      <c r="S51" s="417">
        <v>-23</v>
      </c>
      <c r="T51" s="417">
        <v>-85416</v>
      </c>
      <c r="U51" s="417">
        <v>581</v>
      </c>
      <c r="V51" s="417">
        <v>-138810</v>
      </c>
      <c r="W51" s="418"/>
      <c r="X51" s="417">
        <v>-60868</v>
      </c>
      <c r="Y51" s="417">
        <v>-27</v>
      </c>
      <c r="Z51" s="417">
        <v>-97451</v>
      </c>
      <c r="AA51" s="417">
        <v>-24</v>
      </c>
      <c r="AB51" s="417">
        <v>-158370</v>
      </c>
      <c r="AC51" s="418"/>
      <c r="AD51" s="417">
        <v>-70199</v>
      </c>
      <c r="AE51" s="417">
        <v>-17</v>
      </c>
      <c r="AF51" s="417">
        <v>-110482</v>
      </c>
      <c r="AG51" s="417">
        <v>-49</v>
      </c>
      <c r="AH51" s="417">
        <v>-180747</v>
      </c>
      <c r="AI51" s="418"/>
      <c r="AJ51" s="417">
        <v>-133060</v>
      </c>
      <c r="AK51" s="417">
        <v>-12</v>
      </c>
      <c r="AL51" s="417">
        <v>-242411</v>
      </c>
      <c r="AM51" s="417">
        <v>-31826</v>
      </c>
      <c r="AN51" s="417">
        <v>-407309</v>
      </c>
      <c r="AO51" s="418"/>
      <c r="AP51" s="417">
        <v>-86</v>
      </c>
      <c r="AQ51" s="417">
        <v>-14</v>
      </c>
      <c r="AR51" s="417">
        <v>-147527</v>
      </c>
      <c r="AS51" s="417">
        <v>-210045</v>
      </c>
      <c r="AT51" s="417">
        <v>-357672</v>
      </c>
    </row>
    <row r="52" spans="1:46" s="1" customFormat="1" ht="15" customHeight="1" x14ac:dyDescent="0.2">
      <c r="A52" s="125" t="str">
        <f>IF(Contents!$A$1=2,"Dividends paid to non-controlling interest shareholders","Дивиденды, выплаченные держателям неконтролирующих долей")</f>
        <v>Дивиденды, выплаченные держателям неконтролирующих долей</v>
      </c>
      <c r="B52" s="271" t="str">
        <f>IF(Contents!$A$1=2,"mln RUB","млн руб.")</f>
        <v>млн руб.</v>
      </c>
      <c r="C52" s="123"/>
      <c r="D52" s="417">
        <v>-3076</v>
      </c>
      <c r="E52" s="418"/>
      <c r="F52" s="417">
        <v>-559</v>
      </c>
      <c r="G52" s="417">
        <v>-208</v>
      </c>
      <c r="H52" s="417">
        <v>-2236</v>
      </c>
      <c r="I52" s="417">
        <v>-245</v>
      </c>
      <c r="J52" s="417">
        <v>-3248</v>
      </c>
      <c r="K52" s="418"/>
      <c r="L52" s="417">
        <v>-1005</v>
      </c>
      <c r="M52" s="417">
        <v>-582</v>
      </c>
      <c r="N52" s="417">
        <v>-710</v>
      </c>
      <c r="O52" s="417">
        <v>-1086</v>
      </c>
      <c r="P52" s="417">
        <v>-3383</v>
      </c>
      <c r="Q52" s="418"/>
      <c r="R52" s="417">
        <v>-984</v>
      </c>
      <c r="S52" s="417">
        <v>-582</v>
      </c>
      <c r="T52" s="417">
        <v>-559</v>
      </c>
      <c r="U52" s="417">
        <v>-564</v>
      </c>
      <c r="V52" s="417">
        <v>-2689</v>
      </c>
      <c r="W52" s="418"/>
      <c r="X52" s="417">
        <v>-971</v>
      </c>
      <c r="Y52" s="417">
        <v>-69</v>
      </c>
      <c r="Z52" s="417">
        <v>-475</v>
      </c>
      <c r="AA52" s="417">
        <v>-480</v>
      </c>
      <c r="AB52" s="417">
        <v>-1995</v>
      </c>
      <c r="AC52" s="418"/>
      <c r="AD52" s="417">
        <v>-1494</v>
      </c>
      <c r="AE52" s="417">
        <v>-341</v>
      </c>
      <c r="AF52" s="417">
        <v>-1466</v>
      </c>
      <c r="AG52" s="417">
        <v>-739</v>
      </c>
      <c r="AH52" s="417">
        <v>-4040</v>
      </c>
      <c r="AI52" s="418"/>
      <c r="AJ52" s="417">
        <v>-1187</v>
      </c>
      <c r="AK52" s="417">
        <v>-1181</v>
      </c>
      <c r="AL52" s="417">
        <v>-104</v>
      </c>
      <c r="AM52" s="417">
        <v>-1117</v>
      </c>
      <c r="AN52" s="417">
        <v>-3589</v>
      </c>
      <c r="AO52" s="418"/>
      <c r="AP52" s="417">
        <v>-910</v>
      </c>
      <c r="AQ52" s="417">
        <v>-1550</v>
      </c>
      <c r="AR52" s="417">
        <v>0</v>
      </c>
      <c r="AS52" s="417">
        <v>-1470</v>
      </c>
      <c r="AT52" s="417">
        <v>-3930</v>
      </c>
    </row>
    <row r="53" spans="1:46" s="1" customFormat="1" ht="15" customHeight="1" x14ac:dyDescent="0.2">
      <c r="A53" s="125" t="str">
        <f>IF(Contents!$A$1=2,"Financing received from non-controlling interest shareholders","Финансирование, полученное от держателей неконтролирующих долей")</f>
        <v>Финансирование, полученное от держателей неконтролирующих долей</v>
      </c>
      <c r="B53" s="271" t="str">
        <f>IF(Contents!$A$1=2,"mln RUB","млн руб.")</f>
        <v>млн руб.</v>
      </c>
      <c r="C53" s="123"/>
      <c r="D53" s="417">
        <v>94</v>
      </c>
      <c r="E53" s="418"/>
      <c r="F53" s="417">
        <v>31</v>
      </c>
      <c r="G53" s="417">
        <v>30</v>
      </c>
      <c r="H53" s="417">
        <v>26</v>
      </c>
      <c r="I53" s="417">
        <v>18</v>
      </c>
      <c r="J53" s="417">
        <v>105</v>
      </c>
      <c r="K53" s="418"/>
      <c r="L53" s="417">
        <v>27</v>
      </c>
      <c r="M53" s="417">
        <v>21</v>
      </c>
      <c r="N53" s="417">
        <v>20</v>
      </c>
      <c r="O53" s="417">
        <v>274</v>
      </c>
      <c r="P53" s="417">
        <v>342</v>
      </c>
      <c r="Q53" s="418"/>
      <c r="R53" s="417">
        <v>10</v>
      </c>
      <c r="S53" s="417">
        <v>13</v>
      </c>
      <c r="T53" s="417">
        <v>4</v>
      </c>
      <c r="U53" s="417">
        <v>4</v>
      </c>
      <c r="V53" s="417">
        <v>31</v>
      </c>
      <c r="W53" s="418"/>
      <c r="X53" s="417">
        <v>5</v>
      </c>
      <c r="Y53" s="417">
        <v>72</v>
      </c>
      <c r="Z53" s="417">
        <v>34</v>
      </c>
      <c r="AA53" s="417">
        <v>7</v>
      </c>
      <c r="AB53" s="417">
        <v>118</v>
      </c>
      <c r="AC53" s="418"/>
      <c r="AD53" s="417">
        <v>44</v>
      </c>
      <c r="AE53" s="417">
        <v>34</v>
      </c>
      <c r="AF53" s="417">
        <v>6</v>
      </c>
      <c r="AG53" s="417">
        <v>213</v>
      </c>
      <c r="AH53" s="417">
        <v>297</v>
      </c>
      <c r="AI53" s="418"/>
      <c r="AJ53" s="417">
        <v>2</v>
      </c>
      <c r="AK53" s="417">
        <v>2</v>
      </c>
      <c r="AL53" s="417">
        <v>38</v>
      </c>
      <c r="AM53" s="417">
        <v>5</v>
      </c>
      <c r="AN53" s="417">
        <v>47</v>
      </c>
      <c r="AO53" s="418"/>
      <c r="AP53" s="417">
        <v>18</v>
      </c>
      <c r="AQ53" s="417">
        <v>18</v>
      </c>
      <c r="AR53" s="417">
        <v>110</v>
      </c>
      <c r="AS53" s="417">
        <v>-12</v>
      </c>
      <c r="AT53" s="417">
        <v>134</v>
      </c>
    </row>
    <row r="54" spans="1:46" s="206" customFormat="1" ht="15" customHeight="1" x14ac:dyDescent="0.2">
      <c r="A54" s="123" t="str">
        <f>IF(Contents!$A$1=2,"Purchase of Company’s stock","Приобретение акций Компании")</f>
        <v>Приобретение акций Компании</v>
      </c>
      <c r="B54" s="271" t="str">
        <f>IF(Contents!$A$1=2,"mln RUB","млн руб.")</f>
        <v>млн руб.</v>
      </c>
      <c r="C54" s="123"/>
      <c r="D54" s="417">
        <v>0</v>
      </c>
      <c r="E54" s="418"/>
      <c r="F54" s="417">
        <v>0</v>
      </c>
      <c r="G54" s="417">
        <v>0</v>
      </c>
      <c r="H54" s="417">
        <v>0</v>
      </c>
      <c r="I54" s="417">
        <v>0</v>
      </c>
      <c r="J54" s="417">
        <v>0</v>
      </c>
      <c r="K54" s="418"/>
      <c r="L54" s="417">
        <v>0</v>
      </c>
      <c r="M54" s="417">
        <v>0</v>
      </c>
      <c r="N54" s="417">
        <v>0</v>
      </c>
      <c r="O54" s="417">
        <v>0</v>
      </c>
      <c r="P54" s="417">
        <v>0</v>
      </c>
      <c r="Q54" s="418"/>
      <c r="R54" s="417">
        <v>0</v>
      </c>
      <c r="S54" s="417">
        <v>-9474</v>
      </c>
      <c r="T54" s="417">
        <v>0</v>
      </c>
      <c r="U54" s="417">
        <v>0</v>
      </c>
      <c r="V54" s="417">
        <v>-9474</v>
      </c>
      <c r="W54" s="418"/>
      <c r="X54" s="417">
        <v>0</v>
      </c>
      <c r="Y54" s="417">
        <v>0</v>
      </c>
      <c r="Z54" s="417">
        <v>-7024</v>
      </c>
      <c r="AA54" s="417">
        <v>-52969</v>
      </c>
      <c r="AB54" s="417">
        <v>-59993</v>
      </c>
      <c r="AC54" s="418"/>
      <c r="AD54" s="417">
        <v>-71488</v>
      </c>
      <c r="AE54" s="417">
        <v>-62117</v>
      </c>
      <c r="AF54" s="417">
        <v>-110086</v>
      </c>
      <c r="AG54" s="417">
        <v>0</v>
      </c>
      <c r="AH54" s="417">
        <v>-243691</v>
      </c>
      <c r="AI54" s="418"/>
      <c r="AJ54" s="417">
        <v>-2025.9999999999998</v>
      </c>
      <c r="AK54" s="417">
        <v>0</v>
      </c>
      <c r="AL54" s="417">
        <v>0</v>
      </c>
      <c r="AM54" s="417">
        <v>0</v>
      </c>
      <c r="AN54" s="417">
        <v>-2026</v>
      </c>
      <c r="AO54" s="418"/>
      <c r="AP54" s="417">
        <v>0</v>
      </c>
      <c r="AQ54" s="417">
        <v>0</v>
      </c>
      <c r="AR54" s="417">
        <v>0</v>
      </c>
      <c r="AS54" s="417">
        <v>-13958</v>
      </c>
      <c r="AT54" s="417">
        <v>-13958</v>
      </c>
    </row>
    <row r="55" spans="1:46" s="1" customFormat="1" ht="15" customHeight="1" x14ac:dyDescent="0.2">
      <c r="A55" s="125" t="str">
        <f>IF(Contents!$A$1=2,"Sale (purchases) of non-controlling interest","Продажа (приобретение) неконтролируючих долей")</f>
        <v>Продажа (приобретение) неконтролируючих долей</v>
      </c>
      <c r="B55" s="271" t="str">
        <f>IF(Contents!$A$1=2,"mln RUB","млн руб.")</f>
        <v>млн руб.</v>
      </c>
      <c r="C55" s="123"/>
      <c r="D55" s="417">
        <v>0</v>
      </c>
      <c r="E55" s="418"/>
      <c r="F55" s="417">
        <v>0</v>
      </c>
      <c r="G55" s="417">
        <v>9</v>
      </c>
      <c r="H55" s="417">
        <v>2559</v>
      </c>
      <c r="I55" s="417">
        <v>0</v>
      </c>
      <c r="J55" s="417">
        <v>2568</v>
      </c>
      <c r="K55" s="418"/>
      <c r="L55" s="417">
        <v>0</v>
      </c>
      <c r="M55" s="417">
        <v>0</v>
      </c>
      <c r="N55" s="417">
        <v>0</v>
      </c>
      <c r="O55" s="417">
        <v>0</v>
      </c>
      <c r="P55" s="417">
        <v>0</v>
      </c>
      <c r="Q55" s="418"/>
      <c r="R55" s="417">
        <v>30</v>
      </c>
      <c r="S55" s="417">
        <v>0</v>
      </c>
      <c r="T55" s="417">
        <v>0</v>
      </c>
      <c r="U55" s="417">
        <v>0</v>
      </c>
      <c r="V55" s="417">
        <v>30</v>
      </c>
      <c r="W55" s="418"/>
      <c r="X55" s="417">
        <v>4</v>
      </c>
      <c r="Y55" s="417">
        <v>0</v>
      </c>
      <c r="Z55" s="417">
        <v>0</v>
      </c>
      <c r="AA55" s="417">
        <v>0</v>
      </c>
      <c r="AB55" s="417">
        <v>4</v>
      </c>
      <c r="AC55" s="418"/>
      <c r="AD55" s="417">
        <v>0</v>
      </c>
      <c r="AE55" s="417">
        <v>0</v>
      </c>
      <c r="AF55" s="417">
        <v>0</v>
      </c>
      <c r="AG55" s="417">
        <v>0</v>
      </c>
      <c r="AH55" s="417">
        <v>0</v>
      </c>
      <c r="AI55" s="418"/>
      <c r="AJ55" s="417">
        <v>0</v>
      </c>
      <c r="AK55" s="417">
        <v>0</v>
      </c>
      <c r="AL55" s="417">
        <v>0</v>
      </c>
      <c r="AM55" s="417">
        <v>0</v>
      </c>
      <c r="AN55" s="417">
        <v>0</v>
      </c>
      <c r="AO55" s="418"/>
      <c r="AP55" s="417">
        <v>0</v>
      </c>
      <c r="AQ55" s="417">
        <v>0</v>
      </c>
      <c r="AR55" s="417">
        <v>0</v>
      </c>
      <c r="AS55" s="417">
        <v>-14</v>
      </c>
      <c r="AT55" s="417">
        <v>-14</v>
      </c>
    </row>
    <row r="56" spans="1:46" s="1" customFormat="1" ht="15" customHeight="1" x14ac:dyDescent="0.2">
      <c r="A56" s="125" t="str">
        <f>IF(Contents!$A$1=2,"Purchases of non-controlling interest","Приобретение неконтролирующих долей")</f>
        <v>Приобретение неконтролирующих долей</v>
      </c>
      <c r="B56" s="271" t="str">
        <f>IF(Contents!$A$1=2,"mln RUB","млн руб.")</f>
        <v>млн руб.</v>
      </c>
      <c r="C56" s="123"/>
      <c r="D56" s="417">
        <v>-1124</v>
      </c>
      <c r="E56" s="418"/>
      <c r="F56" s="417">
        <v>0</v>
      </c>
      <c r="G56" s="417">
        <v>0</v>
      </c>
      <c r="H56" s="417">
        <v>0</v>
      </c>
      <c r="I56" s="417">
        <v>-4952</v>
      </c>
      <c r="J56" s="417">
        <v>-4952</v>
      </c>
      <c r="K56" s="418"/>
      <c r="L56" s="417">
        <v>0</v>
      </c>
      <c r="M56" s="417">
        <v>-1285</v>
      </c>
      <c r="N56" s="417">
        <v>0</v>
      </c>
      <c r="O56" s="417">
        <v>0</v>
      </c>
      <c r="P56" s="417">
        <v>-1285</v>
      </c>
      <c r="Q56" s="418"/>
      <c r="R56" s="417">
        <v>0</v>
      </c>
      <c r="S56" s="417">
        <v>-5</v>
      </c>
      <c r="T56" s="417">
        <v>0</v>
      </c>
      <c r="U56" s="417">
        <v>0</v>
      </c>
      <c r="V56" s="417">
        <v>-5</v>
      </c>
      <c r="W56" s="418"/>
      <c r="X56" s="417">
        <v>0</v>
      </c>
      <c r="Y56" s="417">
        <v>0</v>
      </c>
      <c r="Z56" s="417">
        <v>0</v>
      </c>
      <c r="AA56" s="417">
        <v>0</v>
      </c>
      <c r="AB56" s="417">
        <v>0</v>
      </c>
      <c r="AC56" s="418"/>
      <c r="AD56" s="417">
        <v>-14</v>
      </c>
      <c r="AE56" s="417">
        <v>0</v>
      </c>
      <c r="AF56" s="417">
        <v>0</v>
      </c>
      <c r="AG56" s="417">
        <v>-13</v>
      </c>
      <c r="AH56" s="417">
        <v>-27</v>
      </c>
      <c r="AI56" s="418"/>
      <c r="AJ56" s="417">
        <v>0</v>
      </c>
      <c r="AK56" s="417">
        <v>0</v>
      </c>
      <c r="AL56" s="417">
        <v>0</v>
      </c>
      <c r="AM56" s="417">
        <v>0</v>
      </c>
      <c r="AN56" s="417">
        <v>0</v>
      </c>
      <c r="AO56" s="418"/>
      <c r="AP56" s="417">
        <v>0</v>
      </c>
      <c r="AQ56" s="417">
        <v>0</v>
      </c>
      <c r="AR56" s="417">
        <v>0</v>
      </c>
      <c r="AS56" s="417">
        <v>0</v>
      </c>
      <c r="AT56" s="417">
        <v>0</v>
      </c>
    </row>
    <row r="57" spans="1:46" s="1" customFormat="1" ht="15" customHeight="1" x14ac:dyDescent="0.2">
      <c r="A57" s="346" t="str">
        <f>IF(Contents!$A$1=2,"Net cash used in financing activities","Чистые денежные средства, (использованные в) полученные от финансовой деятельности")</f>
        <v>Чистые денежные средства, (использованные в) полученные от финансовой деятельности</v>
      </c>
      <c r="B57" s="270" t="str">
        <f>IF(Contents!$A$1=2,"mln RUB","млн руб.")</f>
        <v>млн руб.</v>
      </c>
      <c r="C57" s="82"/>
      <c r="D57" s="420">
        <v>30143</v>
      </c>
      <c r="E57" s="426"/>
      <c r="F57" s="420">
        <v>-49744</v>
      </c>
      <c r="G57" s="420">
        <v>-39818</v>
      </c>
      <c r="H57" s="420">
        <v>-66337</v>
      </c>
      <c r="I57" s="420">
        <v>-97164</v>
      </c>
      <c r="J57" s="420">
        <v>-253063</v>
      </c>
      <c r="K57" s="426"/>
      <c r="L57" s="420">
        <v>53420</v>
      </c>
      <c r="M57" s="420">
        <v>-16153</v>
      </c>
      <c r="N57" s="420">
        <v>-101354</v>
      </c>
      <c r="O57" s="420">
        <v>-129047</v>
      </c>
      <c r="P57" s="420">
        <v>-193134</v>
      </c>
      <c r="Q57" s="426"/>
      <c r="R57" s="420">
        <v>-52260</v>
      </c>
      <c r="S57" s="420">
        <v>-72532</v>
      </c>
      <c r="T57" s="420">
        <v>-91393</v>
      </c>
      <c r="U57" s="420">
        <v>-31210</v>
      </c>
      <c r="V57" s="420">
        <v>-247395</v>
      </c>
      <c r="W57" s="426"/>
      <c r="X57" s="420">
        <v>-70401</v>
      </c>
      <c r="Y57" s="420">
        <v>-136809</v>
      </c>
      <c r="Z57" s="420">
        <v>-130606</v>
      </c>
      <c r="AA57" s="420">
        <v>-130733</v>
      </c>
      <c r="AB57" s="420">
        <v>-468549</v>
      </c>
      <c r="AC57" s="426"/>
      <c r="AD57" s="420">
        <v>-169807</v>
      </c>
      <c r="AE57" s="420">
        <v>-92068</v>
      </c>
      <c r="AF57" s="420">
        <v>-240489</v>
      </c>
      <c r="AG57" s="420">
        <v>-79980</v>
      </c>
      <c r="AH57" s="420">
        <v>-582344</v>
      </c>
      <c r="AI57" s="426"/>
      <c r="AJ57" s="420">
        <v>-151630</v>
      </c>
      <c r="AK57" s="420">
        <v>137621</v>
      </c>
      <c r="AL57" s="420">
        <v>-343008</v>
      </c>
      <c r="AM57" s="420">
        <v>-156988</v>
      </c>
      <c r="AN57" s="420">
        <v>-514005</v>
      </c>
      <c r="AO57" s="426"/>
      <c r="AP57" s="420">
        <v>-29890</v>
      </c>
      <c r="AQ57" s="420">
        <v>-27129</v>
      </c>
      <c r="AR57" s="420">
        <v>-152131</v>
      </c>
      <c r="AS57" s="420">
        <v>-145227</v>
      </c>
      <c r="AT57" s="420">
        <v>-354377</v>
      </c>
    </row>
    <row r="58" spans="1:46" s="1" customFormat="1" ht="15" customHeight="1" x14ac:dyDescent="0.2">
      <c r="A58" s="94" t="str">
        <f>IF(Contents!$A$1=2,"Effect of exchange rate changes on cash and cash equivalents","Влияние изменений валютных курсов на величину денежных средств и их эквивалентов")</f>
        <v>Влияние изменений валютных курсов на величину денежных средств и их эквивалентов</v>
      </c>
      <c r="B58" s="271" t="str">
        <f>IF(Contents!$A$1=2,"mln RUB","млн руб.")</f>
        <v>млн руб.</v>
      </c>
      <c r="C58" s="82"/>
      <c r="D58" s="417">
        <v>22826</v>
      </c>
      <c r="E58" s="418"/>
      <c r="F58" s="417">
        <v>-6513</v>
      </c>
      <c r="G58" s="417">
        <v>-12916</v>
      </c>
      <c r="H58" s="417">
        <v>16303</v>
      </c>
      <c r="I58" s="417">
        <v>21179</v>
      </c>
      <c r="J58" s="417">
        <v>18053</v>
      </c>
      <c r="K58" s="418"/>
      <c r="L58" s="417">
        <v>-22192</v>
      </c>
      <c r="M58" s="417">
        <v>-11598</v>
      </c>
      <c r="N58" s="417">
        <v>-4904</v>
      </c>
      <c r="O58" s="417">
        <v>-15969</v>
      </c>
      <c r="P58" s="417">
        <v>-54663</v>
      </c>
      <c r="Q58" s="418"/>
      <c r="R58" s="417">
        <v>-16002</v>
      </c>
      <c r="S58" s="417">
        <v>11085</v>
      </c>
      <c r="T58" s="417">
        <v>-2927</v>
      </c>
      <c r="U58" s="417">
        <v>-942</v>
      </c>
      <c r="V58" s="417">
        <v>-8786</v>
      </c>
      <c r="W58" s="418"/>
      <c r="X58" s="417">
        <v>-1826</v>
      </c>
      <c r="Y58" s="417">
        <v>22226</v>
      </c>
      <c r="Z58" s="417">
        <v>7136</v>
      </c>
      <c r="AA58" s="417">
        <v>17014</v>
      </c>
      <c r="AB58" s="417">
        <v>44550</v>
      </c>
      <c r="AC58" s="418"/>
      <c r="AD58" s="417">
        <v>-22122</v>
      </c>
      <c r="AE58" s="417">
        <v>-6616</v>
      </c>
      <c r="AF58" s="417">
        <v>6858</v>
      </c>
      <c r="AG58" s="417">
        <v>-14112</v>
      </c>
      <c r="AH58" s="417">
        <v>-35992</v>
      </c>
      <c r="AI58" s="418"/>
      <c r="AJ58" s="417">
        <v>80239</v>
      </c>
      <c r="AK58" s="417">
        <v>-50495</v>
      </c>
      <c r="AL58" s="417">
        <v>53030</v>
      </c>
      <c r="AM58" s="417">
        <v>-24774</v>
      </c>
      <c r="AN58" s="417">
        <v>58000</v>
      </c>
      <c r="AO58" s="418"/>
      <c r="AP58" s="417">
        <v>9085</v>
      </c>
      <c r="AQ58" s="417">
        <v>-20316</v>
      </c>
      <c r="AR58" s="417">
        <v>-733</v>
      </c>
      <c r="AS58" s="417">
        <v>11432</v>
      </c>
      <c r="AT58" s="417">
        <v>-532</v>
      </c>
    </row>
    <row r="59" spans="1:46" s="1" customFormat="1" ht="15" customHeight="1" x14ac:dyDescent="0.2">
      <c r="A59" s="94" t="str">
        <f>IF(Contents!$A$1=2,"Change in cash related to assets held for sale","Изменение денежных средств, относящихся к активам для продажи")</f>
        <v>Изменение денежных средств, относящихся к активам для продажи</v>
      </c>
      <c r="B59" s="271" t="str">
        <f>IF(Contents!$A$1=2,"mln RUB","млн руб.")</f>
        <v>млн руб.</v>
      </c>
      <c r="C59" s="82"/>
      <c r="D59" s="417">
        <v>-80</v>
      </c>
      <c r="E59" s="418"/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8"/>
      <c r="L59" s="417">
        <v>0</v>
      </c>
      <c r="M59" s="417">
        <v>0</v>
      </c>
      <c r="N59" s="417">
        <v>0</v>
      </c>
      <c r="O59" s="417">
        <v>-3</v>
      </c>
      <c r="P59" s="417">
        <v>-3</v>
      </c>
      <c r="Q59" s="418"/>
      <c r="R59" s="417">
        <v>-309</v>
      </c>
      <c r="S59" s="417">
        <v>312</v>
      </c>
      <c r="T59" s="417">
        <v>0</v>
      </c>
      <c r="U59" s="417">
        <v>-3</v>
      </c>
      <c r="V59" s="417">
        <v>0</v>
      </c>
      <c r="W59" s="418"/>
      <c r="X59" s="417">
        <v>0</v>
      </c>
      <c r="Y59" s="417">
        <v>0</v>
      </c>
      <c r="Z59" s="417">
        <v>0</v>
      </c>
      <c r="AA59" s="417">
        <v>0</v>
      </c>
      <c r="AB59" s="417">
        <v>0</v>
      </c>
      <c r="AC59" s="418"/>
      <c r="AD59" s="417">
        <v>0</v>
      </c>
      <c r="AE59" s="417">
        <v>0</v>
      </c>
      <c r="AF59" s="417">
        <v>0</v>
      </c>
      <c r="AG59" s="417">
        <v>0</v>
      </c>
      <c r="AH59" s="417">
        <v>0</v>
      </c>
      <c r="AI59" s="418"/>
      <c r="AJ59" s="417">
        <v>0</v>
      </c>
      <c r="AK59" s="417">
        <v>0</v>
      </c>
      <c r="AL59" s="417">
        <v>0</v>
      </c>
      <c r="AM59" s="417">
        <v>0</v>
      </c>
      <c r="AN59" s="417">
        <v>0</v>
      </c>
      <c r="AO59" s="418"/>
      <c r="AP59" s="417">
        <v>0</v>
      </c>
      <c r="AQ59" s="417">
        <v>0</v>
      </c>
      <c r="AR59" s="417">
        <v>0</v>
      </c>
      <c r="AS59" s="417">
        <v>0</v>
      </c>
      <c r="AT59" s="417">
        <v>0</v>
      </c>
    </row>
    <row r="60" spans="1:46" s="1" customFormat="1" ht="15" customHeight="1" x14ac:dyDescent="0.2">
      <c r="A60" s="344" t="str">
        <f>IF(Contents!$A$1=2,"Net (decrease) increase in cash and cash equivalents","Чистое (уменьшение) увеличение денежных средств и их эквивалентов")</f>
        <v>Чистое (уменьшение) увеличение денежных средств и их эквивалентов</v>
      </c>
      <c r="B60" s="272" t="str">
        <f>IF(Contents!$A$1=2,"mln RUB","млн руб.")</f>
        <v>млн руб.</v>
      </c>
      <c r="C60" s="136"/>
      <c r="D60" s="422">
        <v>125931</v>
      </c>
      <c r="E60" s="426"/>
      <c r="F60" s="422">
        <v>4773</v>
      </c>
      <c r="G60" s="422">
        <v>-21529</v>
      </c>
      <c r="H60" s="422">
        <v>110197</v>
      </c>
      <c r="I60" s="422">
        <v>-5201</v>
      </c>
      <c r="J60" s="422">
        <v>88240</v>
      </c>
      <c r="K60" s="426"/>
      <c r="L60" s="422">
        <v>57231</v>
      </c>
      <c r="M60" s="422">
        <v>32209</v>
      </c>
      <c r="N60" s="422">
        <v>-1528</v>
      </c>
      <c r="O60" s="422">
        <v>-83808</v>
      </c>
      <c r="P60" s="422">
        <v>4104</v>
      </c>
      <c r="Q60" s="426"/>
      <c r="R60" s="422">
        <v>-64916</v>
      </c>
      <c r="S60" s="422">
        <v>103225</v>
      </c>
      <c r="T60" s="422">
        <v>-6185</v>
      </c>
      <c r="U60" s="422">
        <v>36899</v>
      </c>
      <c r="V60" s="422">
        <v>69023</v>
      </c>
      <c r="W60" s="426"/>
      <c r="X60" s="422">
        <v>-33635</v>
      </c>
      <c r="Y60" s="422">
        <v>42454</v>
      </c>
      <c r="Z60" s="422">
        <v>32582</v>
      </c>
      <c r="AA60" s="422">
        <v>120859</v>
      </c>
      <c r="AB60" s="422">
        <v>162260</v>
      </c>
      <c r="AC60" s="426"/>
      <c r="AD60" s="422">
        <v>-48156</v>
      </c>
      <c r="AE60" s="422">
        <v>61622</v>
      </c>
      <c r="AF60" s="422">
        <v>-58948</v>
      </c>
      <c r="AG60" s="422">
        <v>68864</v>
      </c>
      <c r="AH60" s="422">
        <v>23382</v>
      </c>
      <c r="AI60" s="426"/>
      <c r="AJ60" s="422">
        <v>-15379</v>
      </c>
      <c r="AK60" s="422">
        <v>115554</v>
      </c>
      <c r="AL60" s="422">
        <v>-172232</v>
      </c>
      <c r="AM60" s="422">
        <v>-100143</v>
      </c>
      <c r="AN60" s="422">
        <v>-172200</v>
      </c>
      <c r="AO60" s="426"/>
      <c r="AP60" s="422">
        <v>145348</v>
      </c>
      <c r="AQ60" s="422">
        <v>66089</v>
      </c>
      <c r="AR60" s="422">
        <v>71848</v>
      </c>
      <c r="AS60" s="422">
        <v>50365</v>
      </c>
      <c r="AT60" s="422">
        <v>333650</v>
      </c>
    </row>
    <row r="61" spans="1:46" s="1" customFormat="1" ht="15" customHeight="1" x14ac:dyDescent="0.2">
      <c r="A61" s="137" t="str">
        <f>IF(Contents!$A$1=2,"Cash and cash equivalents at beginning of period","Денежные средства и их эквиваленты на начало периода")</f>
        <v>Денежные средства и их эквиваленты на начало периода</v>
      </c>
      <c r="B61" s="273" t="str">
        <f>IF(Contents!$A$1=2,"mln RUB","млн руб.")</f>
        <v>млн руб.</v>
      </c>
      <c r="C61" s="136"/>
      <c r="D61" s="423">
        <v>43092</v>
      </c>
      <c r="E61" s="418"/>
      <c r="F61" s="423">
        <v>169023</v>
      </c>
      <c r="G61" s="423">
        <v>173796</v>
      </c>
      <c r="H61" s="423">
        <v>152267</v>
      </c>
      <c r="I61" s="423">
        <v>262464</v>
      </c>
      <c r="J61" s="423">
        <v>169023</v>
      </c>
      <c r="K61" s="418"/>
      <c r="L61" s="423">
        <v>257263</v>
      </c>
      <c r="M61" s="423">
        <v>314494</v>
      </c>
      <c r="N61" s="423">
        <v>346703</v>
      </c>
      <c r="O61" s="423">
        <v>345175</v>
      </c>
      <c r="P61" s="423">
        <v>257263</v>
      </c>
      <c r="Q61" s="418"/>
      <c r="R61" s="423">
        <v>261367</v>
      </c>
      <c r="S61" s="423">
        <v>196451</v>
      </c>
      <c r="T61" s="423">
        <v>299676</v>
      </c>
      <c r="U61" s="423">
        <v>293491</v>
      </c>
      <c r="V61" s="423">
        <v>261367</v>
      </c>
      <c r="W61" s="418"/>
      <c r="X61" s="423">
        <v>330390</v>
      </c>
      <c r="Y61" s="423">
        <v>296755</v>
      </c>
      <c r="Z61" s="423">
        <v>339209</v>
      </c>
      <c r="AA61" s="423">
        <v>371791</v>
      </c>
      <c r="AB61" s="423">
        <v>330390</v>
      </c>
      <c r="AC61" s="418"/>
      <c r="AD61" s="423">
        <v>492650</v>
      </c>
      <c r="AE61" s="423">
        <v>444494</v>
      </c>
      <c r="AF61" s="423">
        <v>506116</v>
      </c>
      <c r="AG61" s="423">
        <v>447168</v>
      </c>
      <c r="AH61" s="423">
        <v>492650</v>
      </c>
      <c r="AI61" s="418"/>
      <c r="AJ61" s="423">
        <v>516032.00000000006</v>
      </c>
      <c r="AK61" s="423">
        <v>500653</v>
      </c>
      <c r="AL61" s="423">
        <v>616207</v>
      </c>
      <c r="AM61" s="423">
        <v>443975</v>
      </c>
      <c r="AN61" s="423">
        <v>516032</v>
      </c>
      <c r="AO61" s="418"/>
      <c r="AP61" s="423">
        <v>343832</v>
      </c>
      <c r="AQ61" s="423">
        <v>489180</v>
      </c>
      <c r="AR61" s="423">
        <v>555269</v>
      </c>
      <c r="AS61" s="423">
        <v>627117</v>
      </c>
      <c r="AT61" s="423">
        <v>343832</v>
      </c>
    </row>
    <row r="62" spans="1:46" s="1" customFormat="1" ht="15" customHeight="1" thickBot="1" x14ac:dyDescent="0.25">
      <c r="A62" s="138" t="str">
        <f>IF(Contents!$A$1=2,"Cash and cash equivalents at end of the period","Денежные средства и их эквиваленты на конец периода")</f>
        <v>Денежные средства и их эквиваленты на конец периода</v>
      </c>
      <c r="B62" s="274" t="str">
        <f>IF(Contents!$A$1=2,"mln RUB","млн руб.")</f>
        <v>млн руб.</v>
      </c>
      <c r="C62" s="136"/>
      <c r="D62" s="424">
        <v>169023</v>
      </c>
      <c r="E62" s="426"/>
      <c r="F62" s="424">
        <v>173796</v>
      </c>
      <c r="G62" s="424">
        <v>152267</v>
      </c>
      <c r="H62" s="424">
        <v>262464</v>
      </c>
      <c r="I62" s="424">
        <v>257263</v>
      </c>
      <c r="J62" s="424">
        <v>257263</v>
      </c>
      <c r="K62" s="426"/>
      <c r="L62" s="424">
        <v>314494</v>
      </c>
      <c r="M62" s="424">
        <v>346703</v>
      </c>
      <c r="N62" s="424">
        <v>345175</v>
      </c>
      <c r="O62" s="424">
        <v>261367</v>
      </c>
      <c r="P62" s="424">
        <v>261367</v>
      </c>
      <c r="Q62" s="426"/>
      <c r="R62" s="424">
        <v>196451</v>
      </c>
      <c r="S62" s="424">
        <v>299676</v>
      </c>
      <c r="T62" s="424">
        <v>293491</v>
      </c>
      <c r="U62" s="424">
        <v>330390</v>
      </c>
      <c r="V62" s="424">
        <v>330390</v>
      </c>
      <c r="W62" s="426"/>
      <c r="X62" s="424">
        <v>296755</v>
      </c>
      <c r="Y62" s="424">
        <v>339209</v>
      </c>
      <c r="Z62" s="424">
        <v>371791</v>
      </c>
      <c r="AA62" s="424">
        <v>492650</v>
      </c>
      <c r="AB62" s="424">
        <v>492650</v>
      </c>
      <c r="AC62" s="426"/>
      <c r="AD62" s="424">
        <v>444494</v>
      </c>
      <c r="AE62" s="424">
        <v>506116</v>
      </c>
      <c r="AF62" s="424">
        <v>447168</v>
      </c>
      <c r="AG62" s="424">
        <v>516032</v>
      </c>
      <c r="AH62" s="424">
        <v>516032</v>
      </c>
      <c r="AI62" s="426"/>
      <c r="AJ62" s="424">
        <v>500653</v>
      </c>
      <c r="AK62" s="424">
        <v>616207</v>
      </c>
      <c r="AL62" s="424">
        <v>443975</v>
      </c>
      <c r="AM62" s="424">
        <v>343832</v>
      </c>
      <c r="AN62" s="424">
        <v>343832</v>
      </c>
      <c r="AO62" s="426"/>
      <c r="AP62" s="424">
        <v>489180</v>
      </c>
      <c r="AQ62" s="424">
        <v>555269</v>
      </c>
      <c r="AR62" s="424">
        <v>627117</v>
      </c>
      <c r="AS62" s="424">
        <v>677482</v>
      </c>
      <c r="AT62" s="424">
        <v>677482</v>
      </c>
    </row>
    <row r="64" spans="1:46" ht="15" customHeight="1" x14ac:dyDescent="0.25">
      <c r="A64" s="51" t="str">
        <f>IF(Contents!$A$1=2,"Contents","Содержание")</f>
        <v>Содержание</v>
      </c>
      <c r="B64" s="51"/>
    </row>
  </sheetData>
  <conditionalFormatting sqref="D1:Q1">
    <cfRule type="containsText" dxfId="1170" priority="44" operator="containsText" text="ложь">
      <formula>NOT(ISERROR(SEARCH("ложь",D1)))</formula>
    </cfRule>
  </conditionalFormatting>
  <conditionalFormatting sqref="R1:AB1">
    <cfRule type="containsText" dxfId="1169" priority="39" operator="containsText" text="ложь">
      <formula>NOT(ISERROR(SEARCH("ложь",R1)))</formula>
    </cfRule>
  </conditionalFormatting>
  <conditionalFormatting sqref="AC1:AO1">
    <cfRule type="containsText" dxfId="1168" priority="20" operator="containsText" text="ложь">
      <formula>NOT(ISERROR(SEARCH("ложь",AC1)))</formula>
    </cfRule>
  </conditionalFormatting>
  <conditionalFormatting sqref="AP1:AT1">
    <cfRule type="containsText" dxfId="1167" priority="1" operator="containsText" text="ложь">
      <formula>NOT(ISERROR(SEARCH("ложь",AP1)))</formula>
    </cfRule>
  </conditionalFormatting>
  <hyperlinks>
    <hyperlink ref="A64" location="Contents!A1" display="Contents!A1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4"/>
  <dimension ref="A1:AT24"/>
  <sheetViews>
    <sheetView showGridLines="0" workbookViewId="0">
      <pane xSplit="2" ySplit="6" topLeftCell="C7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97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5" width="10.710937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5" width="10.7109375" style="20" customWidth="1"/>
    <col min="46" max="16384" width="9.140625" style="20"/>
  </cols>
  <sheetData>
    <row r="1" spans="1:46" s="220" customFormat="1" ht="15" customHeight="1" x14ac:dyDescent="0.2">
      <c r="B1" s="453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6" ht="15" customHeight="1" x14ac:dyDescent="0.2">
      <c r="A2" s="335" t="str">
        <f>IF(Contents!$A$1=2,"KEY FINANCIAL AND OPERATIONAL RESULTS","ОСНОВНЫЕ ФИНАНСОВЫЕ И ОПЕРАЦИОННЫЕ ПОКАЗАТЕЛИ")</f>
        <v>ОСНОВНЫЕ ФИНАНСОВЫЕ И ОПЕРАЦИОННЫЕ ПОКАЗАТЕЛИ</v>
      </c>
      <c r="B2" s="292"/>
    </row>
    <row r="3" spans="1:46" ht="15" customHeight="1" thickBot="1" x14ac:dyDescent="0.25">
      <c r="A3" s="132"/>
      <c r="B3" s="293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6" ht="15" customHeight="1" thickTop="1" x14ac:dyDescent="0.2"/>
    <row r="5" spans="1:46" ht="15" customHeight="1" x14ac:dyDescent="0.2">
      <c r="A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9"/>
      <c r="Q5" s="233"/>
      <c r="R5" s="19"/>
      <c r="S5" s="19"/>
      <c r="T5" s="19"/>
      <c r="U5" s="19"/>
      <c r="V5" s="19"/>
      <c r="W5" s="233"/>
      <c r="X5" s="19"/>
      <c r="Y5" s="19"/>
      <c r="Z5" s="19"/>
      <c r="AA5" s="19"/>
      <c r="AB5" s="19"/>
      <c r="AC5" s="233"/>
      <c r="AD5" s="19"/>
      <c r="AE5" s="19"/>
      <c r="AF5" s="19"/>
      <c r="AG5" s="19"/>
      <c r="AH5" s="19"/>
      <c r="AI5" s="233"/>
      <c r="AJ5" s="19"/>
      <c r="AK5" s="19"/>
      <c r="AL5" s="19"/>
      <c r="AM5" s="19"/>
      <c r="AN5" s="19"/>
      <c r="AO5" s="233"/>
      <c r="AP5" s="19"/>
      <c r="AQ5" s="19"/>
      <c r="AR5" s="19"/>
      <c r="AS5" s="19"/>
    </row>
    <row r="6" spans="1:46" ht="15" customHeight="1" x14ac:dyDescent="0.2">
      <c r="A6" s="156"/>
      <c r="B6" s="300"/>
      <c r="C6" s="157"/>
      <c r="D6" s="317">
        <v>2014</v>
      </c>
      <c r="E6" s="324"/>
      <c r="F6" s="325" t="str">
        <f>IF(Contents!$A$1=2,"1Q","1 кв")</f>
        <v>1 кв</v>
      </c>
      <c r="G6" s="325" t="str">
        <f>IF(Contents!$A$1=2,"2Q","2 кв")</f>
        <v>2 кв</v>
      </c>
      <c r="H6" s="325" t="str">
        <f>IF(Contents!$A$1=2,"3Q","3 кв")</f>
        <v>3 кв</v>
      </c>
      <c r="I6" s="325" t="str">
        <f>IF(Contents!$A$1=2,"4Q","4 кв")</f>
        <v>4 кв</v>
      </c>
      <c r="J6" s="317">
        <v>2015</v>
      </c>
      <c r="K6" s="324"/>
      <c r="L6" s="325" t="str">
        <f>IF(Contents!$A$1=2,"1Q","1 кв")</f>
        <v>1 кв</v>
      </c>
      <c r="M6" s="325" t="str">
        <f>IF(Contents!$A$1=2,"2Q","2 кв")</f>
        <v>2 кв</v>
      </c>
      <c r="N6" s="325" t="str">
        <f>IF(Contents!$A$1=2,"3Q","3 кв")</f>
        <v>3 кв</v>
      </c>
      <c r="O6" s="325" t="str">
        <f>IF(Contents!$A$1=2,"4Q","4 кв")</f>
        <v>4 кв</v>
      </c>
      <c r="P6" s="317">
        <v>2016</v>
      </c>
      <c r="Q6" s="324"/>
      <c r="R6" s="325" t="str">
        <f>IF(Contents!$A$1=2,"1Q","1 кв")</f>
        <v>1 кв</v>
      </c>
      <c r="S6" s="325" t="str">
        <f>IF(Contents!$A$1=2,"2Q","2 кв")</f>
        <v>2 кв</v>
      </c>
      <c r="T6" s="325" t="str">
        <f>IF(Contents!$A$1=2,"3Q","3 кв")</f>
        <v>3 кв</v>
      </c>
      <c r="U6" s="325" t="str">
        <f>IF(Contents!$A$1=2,"4Q","4 кв")</f>
        <v>4 кв</v>
      </c>
      <c r="V6" s="317">
        <v>2017</v>
      </c>
      <c r="W6" s="324"/>
      <c r="X6" s="325" t="str">
        <f>IF(Contents!$A$1=2,"1Q","1 кв")</f>
        <v>1 кв</v>
      </c>
      <c r="Y6" s="325" t="str">
        <f>IF(Contents!$A$1=2,"2Q","2 кв")</f>
        <v>2 кв</v>
      </c>
      <c r="Z6" s="325" t="str">
        <f>IF(Contents!$A$1=2,"3Q","3 кв")</f>
        <v>3 кв</v>
      </c>
      <c r="AA6" s="325" t="str">
        <f>IF(Contents!$A$1=2,"4Q","4 кв")</f>
        <v>4 кв</v>
      </c>
      <c r="AB6" s="317">
        <v>2018</v>
      </c>
      <c r="AC6" s="324"/>
      <c r="AD6" s="325" t="str">
        <f>IF(Contents!$A$1=2,"1Q","1 кв")</f>
        <v>1 кв</v>
      </c>
      <c r="AE6" s="325" t="str">
        <f>IF(Contents!$A$1=2,"2Q","2 кв")</f>
        <v>2 кв</v>
      </c>
      <c r="AF6" s="325" t="str">
        <f>IF(Contents!$A$1=2,"3Q","3 кв")</f>
        <v>3 кв</v>
      </c>
      <c r="AG6" s="325" t="str">
        <f>IF(Contents!$A$1=2,"4Q","4 кв")</f>
        <v>4 кв</v>
      </c>
      <c r="AH6" s="317">
        <v>2019</v>
      </c>
      <c r="AI6" s="324"/>
      <c r="AJ6" s="325" t="str">
        <f>IF(Contents!$A$1=2,"1Q","1 кв")</f>
        <v>1 кв</v>
      </c>
      <c r="AK6" s="325" t="str">
        <f>IF(Contents!$A$1=2,"2Q","2 кв")</f>
        <v>2 кв</v>
      </c>
      <c r="AL6" s="325" t="str">
        <f>IF(Contents!$A$1=2,"3Q","3 кв")</f>
        <v>3 кв</v>
      </c>
      <c r="AM6" s="325" t="str">
        <f>IF(Contents!$A$1=2,"4Q","4 кв")</f>
        <v>4 кв</v>
      </c>
      <c r="AN6" s="317">
        <v>2020</v>
      </c>
      <c r="AO6" s="324"/>
      <c r="AP6" s="325" t="str">
        <f>IF(Contents!$A$1=2,"1Q","1 кв")</f>
        <v>1 кв</v>
      </c>
      <c r="AQ6" s="325" t="str">
        <f>IF(Contents!$A$1=2,"2Q","2 кв")</f>
        <v>2 кв</v>
      </c>
      <c r="AR6" s="325" t="str">
        <f>IF(Contents!$A$1=2,"3Q","3 кв")</f>
        <v>3 кв</v>
      </c>
      <c r="AS6" s="325" t="str">
        <f>IF(Contents!$A$1=2,"4Q","4 кв")</f>
        <v>4 кв</v>
      </c>
      <c r="AT6" s="317">
        <v>2021</v>
      </c>
    </row>
    <row r="7" spans="1:46" ht="15" customHeight="1" x14ac:dyDescent="0.2">
      <c r="A7" s="359" t="str">
        <f>IF(Contents!$A$1=2,"Sales","Выручка от реализации")</f>
        <v>Выручка от реализации</v>
      </c>
      <c r="B7" s="301" t="str">
        <f>IF(Contents!$A$1=2,"mln RUB","млн руб.")</f>
        <v>млн руб.</v>
      </c>
      <c r="C7" s="47"/>
      <c r="D7" s="429">
        <v>5504856</v>
      </c>
      <c r="E7" s="429"/>
      <c r="F7" s="429">
        <v>1440305</v>
      </c>
      <c r="G7" s="429">
        <v>1476966</v>
      </c>
      <c r="H7" s="429">
        <v>1464053</v>
      </c>
      <c r="I7" s="429">
        <v>1367726</v>
      </c>
      <c r="J7" s="429">
        <v>5749050</v>
      </c>
      <c r="K7" s="429"/>
      <c r="L7" s="429">
        <v>1177674</v>
      </c>
      <c r="M7" s="429">
        <v>1338959</v>
      </c>
      <c r="N7" s="429">
        <v>1309488</v>
      </c>
      <c r="O7" s="429">
        <v>1400924</v>
      </c>
      <c r="P7" s="429">
        <v>5227045</v>
      </c>
      <c r="Q7" s="430"/>
      <c r="R7" s="429">
        <v>1431599</v>
      </c>
      <c r="S7" s="429">
        <v>1359170</v>
      </c>
      <c r="T7" s="429">
        <v>1483484</v>
      </c>
      <c r="U7" s="429">
        <v>1662452</v>
      </c>
      <c r="V7" s="429">
        <v>5936705</v>
      </c>
      <c r="W7" s="430"/>
      <c r="X7" s="429">
        <v>1630728</v>
      </c>
      <c r="Y7" s="429">
        <v>2056058</v>
      </c>
      <c r="Z7" s="429">
        <v>2305886</v>
      </c>
      <c r="AA7" s="429">
        <v>2043217</v>
      </c>
      <c r="AB7" s="429">
        <v>8035889</v>
      </c>
      <c r="AC7" s="430"/>
      <c r="AD7" s="429">
        <v>1850933</v>
      </c>
      <c r="AE7" s="429">
        <v>2125552</v>
      </c>
      <c r="AF7" s="429">
        <v>1952322</v>
      </c>
      <c r="AG7" s="429">
        <v>1912439</v>
      </c>
      <c r="AH7" s="429">
        <v>7841246</v>
      </c>
      <c r="AI7" s="430"/>
      <c r="AJ7" s="429">
        <v>1665985</v>
      </c>
      <c r="AK7" s="429">
        <v>986427</v>
      </c>
      <c r="AL7" s="429">
        <v>1456650</v>
      </c>
      <c r="AM7" s="429">
        <v>1530339</v>
      </c>
      <c r="AN7" s="429">
        <v>5639401</v>
      </c>
      <c r="AO7" s="430"/>
      <c r="AP7" s="429">
        <v>1876483</v>
      </c>
      <c r="AQ7" s="429">
        <v>2201884</v>
      </c>
      <c r="AR7" s="429">
        <v>2588745</v>
      </c>
      <c r="AS7" s="429">
        <v>2768031</v>
      </c>
      <c r="AT7" s="429">
        <v>9435143</v>
      </c>
    </row>
    <row r="8" spans="1:46" ht="14.25" x14ac:dyDescent="0.2">
      <c r="A8" s="385" t="str">
        <f>IF(Contents!$A$1=2,"EBITDA¹, including","EBITDA¹, включая")</f>
        <v>EBITDA¹, включая</v>
      </c>
      <c r="B8" s="301" t="str">
        <f>IF(Contents!$A$1=2,"mln RUB","млн руб.")</f>
        <v>млн руб.</v>
      </c>
      <c r="C8" s="47"/>
      <c r="D8" s="429">
        <v>705386</v>
      </c>
      <c r="E8" s="429"/>
      <c r="F8" s="429">
        <v>210708</v>
      </c>
      <c r="G8" s="429">
        <v>206679</v>
      </c>
      <c r="H8" s="429">
        <v>213031</v>
      </c>
      <c r="I8" s="429">
        <v>186287</v>
      </c>
      <c r="J8" s="429">
        <v>816705</v>
      </c>
      <c r="K8" s="429"/>
      <c r="L8" s="429">
        <v>191992</v>
      </c>
      <c r="M8" s="429">
        <v>189571</v>
      </c>
      <c r="N8" s="429">
        <v>165890</v>
      </c>
      <c r="O8" s="429">
        <v>183278</v>
      </c>
      <c r="P8" s="429">
        <v>730731</v>
      </c>
      <c r="Q8" s="430"/>
      <c r="R8" s="429">
        <v>207645</v>
      </c>
      <c r="S8" s="429">
        <v>179044</v>
      </c>
      <c r="T8" s="429">
        <v>221146</v>
      </c>
      <c r="U8" s="429">
        <v>223735</v>
      </c>
      <c r="V8" s="429">
        <v>831570</v>
      </c>
      <c r="W8" s="430"/>
      <c r="X8" s="429">
        <v>219524</v>
      </c>
      <c r="Y8" s="429">
        <v>295151</v>
      </c>
      <c r="Z8" s="429">
        <v>321810</v>
      </c>
      <c r="AA8" s="429">
        <v>278315</v>
      </c>
      <c r="AB8" s="429">
        <v>1114800</v>
      </c>
      <c r="AC8" s="430"/>
      <c r="AD8" s="429">
        <v>298057</v>
      </c>
      <c r="AE8" s="429">
        <v>332170</v>
      </c>
      <c r="AF8" s="429">
        <v>327805</v>
      </c>
      <c r="AG8" s="429">
        <v>278160</v>
      </c>
      <c r="AH8" s="429">
        <v>1236192</v>
      </c>
      <c r="AI8" s="430"/>
      <c r="AJ8" s="429">
        <v>150843</v>
      </c>
      <c r="AK8" s="429">
        <v>144416</v>
      </c>
      <c r="AL8" s="429">
        <v>202223</v>
      </c>
      <c r="AM8" s="429">
        <v>189612</v>
      </c>
      <c r="AN8" s="429">
        <v>687094</v>
      </c>
      <c r="AO8" s="430"/>
      <c r="AP8" s="429">
        <v>314380</v>
      </c>
      <c r="AQ8" s="429">
        <v>339842</v>
      </c>
      <c r="AR8" s="429">
        <v>355176</v>
      </c>
      <c r="AS8" s="429">
        <v>395013</v>
      </c>
      <c r="AT8" s="429">
        <v>1404411</v>
      </c>
    </row>
    <row r="9" spans="1:46" ht="15" customHeight="1" x14ac:dyDescent="0.2">
      <c r="A9" s="84" t="str">
        <f>IF(Contents!$A$1=2,"Exploration and production segment","Cегмент «Разведка и добыча»")</f>
        <v>Cегмент «Разведка и добыча»</v>
      </c>
      <c r="B9" s="301" t="str">
        <f>IF(Contents!$A$1=2,"mln RUB","млн руб.")</f>
        <v>млн руб.</v>
      </c>
      <c r="C9" s="47"/>
      <c r="D9" s="429">
        <v>507917</v>
      </c>
      <c r="E9" s="429"/>
      <c r="F9" s="429">
        <v>0</v>
      </c>
      <c r="G9" s="429">
        <v>0</v>
      </c>
      <c r="H9" s="429">
        <v>0</v>
      </c>
      <c r="I9" s="429">
        <v>0</v>
      </c>
      <c r="J9" s="429">
        <v>595408</v>
      </c>
      <c r="K9" s="429"/>
      <c r="L9" s="429">
        <v>129586</v>
      </c>
      <c r="M9" s="429">
        <v>138227</v>
      </c>
      <c r="N9" s="429">
        <v>111791</v>
      </c>
      <c r="O9" s="429">
        <v>141586</v>
      </c>
      <c r="P9" s="429">
        <v>521190</v>
      </c>
      <c r="Q9" s="430"/>
      <c r="R9" s="429">
        <v>127777</v>
      </c>
      <c r="S9" s="429">
        <v>113587</v>
      </c>
      <c r="T9" s="429">
        <v>155092</v>
      </c>
      <c r="U9" s="429">
        <v>172961</v>
      </c>
      <c r="V9" s="429">
        <v>569417</v>
      </c>
      <c r="W9" s="430"/>
      <c r="X9" s="429">
        <v>171918</v>
      </c>
      <c r="Y9" s="429">
        <v>239699</v>
      </c>
      <c r="Z9" s="429">
        <v>268631</v>
      </c>
      <c r="AA9" s="429">
        <v>190039</v>
      </c>
      <c r="AB9" s="429">
        <v>870287</v>
      </c>
      <c r="AC9" s="430"/>
      <c r="AD9" s="429">
        <v>235132</v>
      </c>
      <c r="AE9" s="429">
        <v>235074</v>
      </c>
      <c r="AF9" s="429">
        <v>211958</v>
      </c>
      <c r="AG9" s="429">
        <v>211786</v>
      </c>
      <c r="AH9" s="429">
        <v>893950</v>
      </c>
      <c r="AI9" s="430"/>
      <c r="AJ9" s="429">
        <v>109189</v>
      </c>
      <c r="AK9" s="429">
        <v>72346</v>
      </c>
      <c r="AL9" s="429">
        <v>151979</v>
      </c>
      <c r="AM9" s="429">
        <v>166567</v>
      </c>
      <c r="AN9" s="429">
        <v>500081</v>
      </c>
      <c r="AO9" s="430"/>
      <c r="AP9" s="429">
        <v>223793</v>
      </c>
      <c r="AQ9" s="429">
        <v>220904</v>
      </c>
      <c r="AR9" s="429">
        <v>245036</v>
      </c>
      <c r="AS9" s="429">
        <v>296522</v>
      </c>
      <c r="AT9" s="429">
        <v>986255</v>
      </c>
    </row>
    <row r="10" spans="1:46" ht="15" customHeight="1" x14ac:dyDescent="0.2">
      <c r="A10" s="84" t="str">
        <f>IF(Contents!$A$1=2,"Refining, marketing and distribution segment","Cегмент «Переработка, торговля и сбыт»")</f>
        <v>Cегмент «Переработка, торговля и сбыт»</v>
      </c>
      <c r="B10" s="301" t="str">
        <f>IF(Contents!$A$1=2,"mln RUB","млн руб.")</f>
        <v>млн руб.</v>
      </c>
      <c r="C10" s="47"/>
      <c r="D10" s="429">
        <v>195108</v>
      </c>
      <c r="E10" s="429"/>
      <c r="F10" s="429">
        <v>0</v>
      </c>
      <c r="G10" s="429">
        <v>0</v>
      </c>
      <c r="H10" s="429">
        <v>0</v>
      </c>
      <c r="I10" s="429">
        <v>0</v>
      </c>
      <c r="J10" s="429">
        <v>234211</v>
      </c>
      <c r="K10" s="429"/>
      <c r="L10" s="429">
        <v>63510</v>
      </c>
      <c r="M10" s="429">
        <v>51643</v>
      </c>
      <c r="N10" s="429">
        <v>60551</v>
      </c>
      <c r="O10" s="429">
        <v>57593</v>
      </c>
      <c r="P10" s="429">
        <v>233297</v>
      </c>
      <c r="Q10" s="430"/>
      <c r="R10" s="429">
        <v>70527</v>
      </c>
      <c r="S10" s="429">
        <v>62468</v>
      </c>
      <c r="T10" s="429">
        <v>81381</v>
      </c>
      <c r="U10" s="429">
        <v>49009</v>
      </c>
      <c r="V10" s="429">
        <v>263385</v>
      </c>
      <c r="W10" s="430"/>
      <c r="X10" s="429">
        <v>46849</v>
      </c>
      <c r="Y10" s="429">
        <v>71620</v>
      </c>
      <c r="Z10" s="429">
        <v>82189</v>
      </c>
      <c r="AA10" s="429">
        <v>81486</v>
      </c>
      <c r="AB10" s="429">
        <v>282144</v>
      </c>
      <c r="AC10" s="430"/>
      <c r="AD10" s="429">
        <v>79938</v>
      </c>
      <c r="AE10" s="429">
        <v>93167</v>
      </c>
      <c r="AF10" s="429">
        <v>116380</v>
      </c>
      <c r="AG10" s="429">
        <v>82157</v>
      </c>
      <c r="AH10" s="429">
        <v>371642</v>
      </c>
      <c r="AI10" s="430"/>
      <c r="AJ10" s="429">
        <v>40291</v>
      </c>
      <c r="AK10" s="429">
        <v>78744</v>
      </c>
      <c r="AL10" s="429">
        <v>77638</v>
      </c>
      <c r="AM10" s="429">
        <v>46649</v>
      </c>
      <c r="AN10" s="429">
        <v>243322</v>
      </c>
      <c r="AO10" s="430"/>
      <c r="AP10" s="429">
        <v>120210</v>
      </c>
      <c r="AQ10" s="429">
        <v>126947</v>
      </c>
      <c r="AR10" s="429">
        <v>125757</v>
      </c>
      <c r="AS10" s="429">
        <v>114380</v>
      </c>
      <c r="AT10" s="429">
        <v>487294</v>
      </c>
    </row>
    <row r="11" spans="1:46" ht="15" customHeight="1" x14ac:dyDescent="0.2">
      <c r="A11" s="395" t="str">
        <f>IF(Contents!$A$1=2,"EBITDA¹ net of West Qurna-2 project","EBITDA¹ за вычетом проекта «Западная Курна-2»")</f>
        <v>EBITDA¹ за вычетом проекта «Западная Курна-2»</v>
      </c>
      <c r="B11" s="301" t="str">
        <f>IF(Contents!$A$1=2,"mln RUB","млн руб.")</f>
        <v>млн руб.</v>
      </c>
      <c r="C11" s="47"/>
      <c r="D11" s="429">
        <v>587266</v>
      </c>
      <c r="E11" s="429"/>
      <c r="F11" s="429">
        <v>183468</v>
      </c>
      <c r="G11" s="429">
        <v>171085</v>
      </c>
      <c r="H11" s="429">
        <v>168505</v>
      </c>
      <c r="I11" s="429">
        <v>156481</v>
      </c>
      <c r="J11" s="429">
        <v>679539</v>
      </c>
      <c r="K11" s="429"/>
      <c r="L11" s="429">
        <v>170498</v>
      </c>
      <c r="M11" s="429">
        <v>182681</v>
      </c>
      <c r="N11" s="429">
        <v>160436</v>
      </c>
      <c r="O11" s="429">
        <v>177648</v>
      </c>
      <c r="P11" s="429">
        <v>691263</v>
      </c>
      <c r="Q11" s="430"/>
      <c r="R11" s="429">
        <v>204702</v>
      </c>
      <c r="S11" s="429">
        <v>175201</v>
      </c>
      <c r="T11" s="429">
        <v>215347</v>
      </c>
      <c r="U11" s="429">
        <v>219132</v>
      </c>
      <c r="V11" s="429">
        <v>814382</v>
      </c>
      <c r="W11" s="430"/>
      <c r="X11" s="429">
        <v>213789</v>
      </c>
      <c r="Y11" s="429">
        <v>288854</v>
      </c>
      <c r="Z11" s="429">
        <v>312666</v>
      </c>
      <c r="AA11" s="429">
        <v>274061</v>
      </c>
      <c r="AB11" s="429">
        <v>1089370</v>
      </c>
      <c r="AC11" s="430"/>
      <c r="AD11" s="429">
        <v>292945</v>
      </c>
      <c r="AE11" s="429">
        <v>324376</v>
      </c>
      <c r="AF11" s="429">
        <v>321126</v>
      </c>
      <c r="AG11" s="429">
        <v>276055</v>
      </c>
      <c r="AH11" s="429">
        <v>1214502</v>
      </c>
      <c r="AI11" s="430"/>
      <c r="AJ11" s="429">
        <v>139431</v>
      </c>
      <c r="AK11" s="429">
        <v>137163</v>
      </c>
      <c r="AL11" s="429">
        <v>196008</v>
      </c>
      <c r="AM11" s="429">
        <v>182496</v>
      </c>
      <c r="AN11" s="429">
        <v>655098</v>
      </c>
      <c r="AO11" s="430"/>
      <c r="AP11" s="429">
        <v>302306</v>
      </c>
      <c r="AQ11" s="429">
        <v>333896</v>
      </c>
      <c r="AR11" s="429">
        <v>347438</v>
      </c>
      <c r="AS11" s="429">
        <v>377440</v>
      </c>
      <c r="AT11" s="429">
        <v>1361080</v>
      </c>
    </row>
    <row r="12" spans="1:46" ht="15" customHeight="1" x14ac:dyDescent="0.2">
      <c r="A12" s="396" t="str">
        <f>IF(Contents!$A$1=2,"(Loss) profit for the period attributable to LUKOIL shareholders","(Чистый убыток) чистая прибыль, относящиеся к акционерам ПАО «ЛУКОЙЛ»")</f>
        <v>(Чистый убыток) чистая прибыль, относящиеся к акционерам ПАО «ЛУКОЙЛ»</v>
      </c>
      <c r="B12" s="301" t="str">
        <f>IF(Contents!$A$1=2,"mln RUB","млн руб.")</f>
        <v>млн руб.</v>
      </c>
      <c r="C12" s="47"/>
      <c r="D12" s="429">
        <v>395525</v>
      </c>
      <c r="E12" s="429"/>
      <c r="F12" s="429">
        <v>104031</v>
      </c>
      <c r="G12" s="429">
        <v>63748</v>
      </c>
      <c r="H12" s="429">
        <v>188393</v>
      </c>
      <c r="I12" s="429">
        <v>-65037</v>
      </c>
      <c r="J12" s="429">
        <v>291135</v>
      </c>
      <c r="K12" s="429"/>
      <c r="L12" s="429">
        <v>42825</v>
      </c>
      <c r="M12" s="429">
        <v>62567</v>
      </c>
      <c r="N12" s="429">
        <v>54803</v>
      </c>
      <c r="O12" s="429">
        <v>46599</v>
      </c>
      <c r="P12" s="429">
        <v>206794</v>
      </c>
      <c r="Q12" s="430"/>
      <c r="R12" s="429">
        <v>62306</v>
      </c>
      <c r="S12" s="429">
        <v>138648</v>
      </c>
      <c r="T12" s="429">
        <v>97341</v>
      </c>
      <c r="U12" s="429">
        <v>120510</v>
      </c>
      <c r="V12" s="429">
        <v>418805</v>
      </c>
      <c r="W12" s="430"/>
      <c r="X12" s="429">
        <v>109058</v>
      </c>
      <c r="Y12" s="429">
        <v>167322</v>
      </c>
      <c r="Z12" s="429">
        <v>183767</v>
      </c>
      <c r="AA12" s="429">
        <v>159027</v>
      </c>
      <c r="AB12" s="429">
        <v>619174</v>
      </c>
      <c r="AC12" s="430"/>
      <c r="AD12" s="429">
        <v>149236</v>
      </c>
      <c r="AE12" s="429">
        <v>181245</v>
      </c>
      <c r="AF12" s="429">
        <v>190387</v>
      </c>
      <c r="AG12" s="429">
        <v>119310</v>
      </c>
      <c r="AH12" s="429">
        <v>640178</v>
      </c>
      <c r="AI12" s="430"/>
      <c r="AJ12" s="429">
        <v>-45960</v>
      </c>
      <c r="AK12" s="429">
        <v>-18720</v>
      </c>
      <c r="AL12" s="429">
        <v>50420</v>
      </c>
      <c r="AM12" s="429">
        <v>29435</v>
      </c>
      <c r="AN12" s="429">
        <v>15175</v>
      </c>
      <c r="AO12" s="430"/>
      <c r="AP12" s="429">
        <v>157427</v>
      </c>
      <c r="AQ12" s="429">
        <v>189750</v>
      </c>
      <c r="AR12" s="429">
        <v>192475</v>
      </c>
      <c r="AS12" s="429">
        <v>233790</v>
      </c>
      <c r="AT12" s="429">
        <v>773442</v>
      </c>
    </row>
    <row r="13" spans="1:46" ht="15" customHeight="1" x14ac:dyDescent="0.2">
      <c r="A13" s="396" t="str">
        <f>IF(Contents!$A$1=2,"Capital expenditures","Капитальные затраты")</f>
        <v>Капитальные затраты</v>
      </c>
      <c r="B13" s="301" t="str">
        <f>IF(Contents!$A$1=2,"mln RUB","млн руб.")</f>
        <v>млн руб.</v>
      </c>
      <c r="C13" s="47"/>
      <c r="D13" s="429">
        <v>611106</v>
      </c>
      <c r="E13" s="429"/>
      <c r="F13" s="429">
        <v>154071</v>
      </c>
      <c r="G13" s="429">
        <v>150773</v>
      </c>
      <c r="H13" s="429">
        <v>142662</v>
      </c>
      <c r="I13" s="429">
        <v>159699</v>
      </c>
      <c r="J13" s="429">
        <v>607205</v>
      </c>
      <c r="K13" s="429"/>
      <c r="L13" s="429">
        <v>125807</v>
      </c>
      <c r="M13" s="429">
        <v>122857</v>
      </c>
      <c r="N13" s="429">
        <v>108728</v>
      </c>
      <c r="O13" s="429">
        <v>139738</v>
      </c>
      <c r="P13" s="429">
        <v>497130</v>
      </c>
      <c r="Q13" s="430"/>
      <c r="R13" s="429">
        <v>130228</v>
      </c>
      <c r="S13" s="429">
        <v>124640</v>
      </c>
      <c r="T13" s="429">
        <v>118902</v>
      </c>
      <c r="U13" s="429">
        <v>137726</v>
      </c>
      <c r="V13" s="429">
        <v>511496</v>
      </c>
      <c r="W13" s="430"/>
      <c r="X13" s="429">
        <v>121057</v>
      </c>
      <c r="Y13" s="429">
        <v>105777</v>
      </c>
      <c r="Z13" s="429">
        <v>111426</v>
      </c>
      <c r="AA13" s="429">
        <v>113266</v>
      </c>
      <c r="AB13" s="429">
        <v>451526</v>
      </c>
      <c r="AC13" s="430"/>
      <c r="AD13" s="429">
        <v>97421</v>
      </c>
      <c r="AE13" s="429">
        <v>107555</v>
      </c>
      <c r="AF13" s="429">
        <v>109062</v>
      </c>
      <c r="AG13" s="429">
        <v>135937</v>
      </c>
      <c r="AH13" s="429">
        <v>449975</v>
      </c>
      <c r="AI13" s="430"/>
      <c r="AJ13" s="429">
        <v>130211</v>
      </c>
      <c r="AK13" s="429">
        <v>117245</v>
      </c>
      <c r="AL13" s="429">
        <v>112826</v>
      </c>
      <c r="AM13" s="429">
        <v>135161</v>
      </c>
      <c r="AN13" s="429">
        <v>495443</v>
      </c>
      <c r="AO13" s="430"/>
      <c r="AP13" s="429">
        <v>107220</v>
      </c>
      <c r="AQ13" s="429">
        <v>104213</v>
      </c>
      <c r="AR13" s="429">
        <v>94328</v>
      </c>
      <c r="AS13" s="429">
        <v>127281</v>
      </c>
      <c r="AT13" s="429">
        <v>433042</v>
      </c>
    </row>
    <row r="14" spans="1:46" ht="15" customHeight="1" x14ac:dyDescent="0.2">
      <c r="A14" s="396" t="str">
        <f>IF(Contents!$A$1=2,"Free cash flow²","Свободный денежный поток²")</f>
        <v>Свободный денежный поток²</v>
      </c>
      <c r="B14" s="301" t="str">
        <f>IF(Contents!$A$1=2,"mln RUB","млн руб.")</f>
        <v>млн руб.</v>
      </c>
      <c r="C14" s="47"/>
      <c r="D14" s="429">
        <v>0</v>
      </c>
      <c r="E14" s="429"/>
      <c r="F14" s="429">
        <v>0</v>
      </c>
      <c r="G14" s="429">
        <v>0</v>
      </c>
      <c r="H14" s="429">
        <v>0</v>
      </c>
      <c r="I14" s="429">
        <v>0</v>
      </c>
      <c r="J14" s="429">
        <v>0</v>
      </c>
      <c r="K14" s="429"/>
      <c r="L14" s="429">
        <v>0</v>
      </c>
      <c r="M14" s="429">
        <v>0</v>
      </c>
      <c r="N14" s="429">
        <v>0</v>
      </c>
      <c r="O14" s="429">
        <v>0</v>
      </c>
      <c r="P14" s="429">
        <v>0</v>
      </c>
      <c r="Q14" s="430"/>
      <c r="R14" s="429">
        <v>0</v>
      </c>
      <c r="S14" s="429">
        <v>0</v>
      </c>
      <c r="T14" s="429">
        <v>0</v>
      </c>
      <c r="U14" s="429">
        <v>0</v>
      </c>
      <c r="V14" s="429">
        <v>0</v>
      </c>
      <c r="W14" s="430"/>
      <c r="X14" s="429">
        <v>45935</v>
      </c>
      <c r="Y14" s="429">
        <v>137172</v>
      </c>
      <c r="Z14" s="429">
        <v>159773</v>
      </c>
      <c r="AA14" s="429">
        <v>212245</v>
      </c>
      <c r="AB14" s="429">
        <v>555125</v>
      </c>
      <c r="AC14" s="430"/>
      <c r="AD14" s="429">
        <v>145903</v>
      </c>
      <c r="AE14" s="429">
        <v>162363</v>
      </c>
      <c r="AF14" s="429">
        <v>208859</v>
      </c>
      <c r="AG14" s="429">
        <v>184744</v>
      </c>
      <c r="AH14" s="429">
        <v>701869</v>
      </c>
      <c r="AI14" s="430"/>
      <c r="AJ14" s="429">
        <v>55519</v>
      </c>
      <c r="AK14" s="429">
        <v>25507</v>
      </c>
      <c r="AL14" s="429">
        <v>114623</v>
      </c>
      <c r="AM14" s="429">
        <v>85482</v>
      </c>
      <c r="AN14" s="429">
        <v>281131</v>
      </c>
      <c r="AO14" s="430"/>
      <c r="AP14" s="429">
        <v>163625</v>
      </c>
      <c r="AQ14" s="429">
        <v>112203</v>
      </c>
      <c r="AR14" s="429">
        <v>227670</v>
      </c>
      <c r="AS14" s="429">
        <v>190074</v>
      </c>
      <c r="AT14" s="429">
        <v>693572</v>
      </c>
    </row>
    <row r="15" spans="1:46" ht="15" customHeight="1" x14ac:dyDescent="0.2">
      <c r="A15" s="396" t="str">
        <f>IF(Contents!$A$1=2,"Free cash flow before changes in working capital","Свободный денежный поток до изменения рабочего капитала")</f>
        <v>Свободный денежный поток до изменения рабочего капитала</v>
      </c>
      <c r="B15" s="301" t="str">
        <f>IF(Contents!$A$1=2,"mln RUB","млн руб.")</f>
        <v>млн руб.</v>
      </c>
      <c r="C15" s="47"/>
      <c r="D15" s="429">
        <v>0</v>
      </c>
      <c r="E15" s="429"/>
      <c r="F15" s="429">
        <v>0</v>
      </c>
      <c r="G15" s="429">
        <v>0</v>
      </c>
      <c r="H15" s="429">
        <v>0</v>
      </c>
      <c r="I15" s="429">
        <v>0</v>
      </c>
      <c r="J15" s="429">
        <v>0</v>
      </c>
      <c r="K15" s="429"/>
      <c r="L15" s="429">
        <v>0</v>
      </c>
      <c r="M15" s="429">
        <v>0</v>
      </c>
      <c r="N15" s="429">
        <v>0</v>
      </c>
      <c r="O15" s="429">
        <v>0</v>
      </c>
      <c r="P15" s="429">
        <v>0</v>
      </c>
      <c r="Q15" s="430"/>
      <c r="R15" s="429">
        <v>0</v>
      </c>
      <c r="S15" s="429">
        <v>0</v>
      </c>
      <c r="T15" s="429">
        <v>0</v>
      </c>
      <c r="U15" s="429">
        <v>0</v>
      </c>
      <c r="V15" s="429">
        <v>0</v>
      </c>
      <c r="W15" s="430"/>
      <c r="X15" s="429">
        <v>93791</v>
      </c>
      <c r="Y15" s="429">
        <v>157169</v>
      </c>
      <c r="Z15" s="429">
        <v>199705</v>
      </c>
      <c r="AA15" s="429">
        <v>138052</v>
      </c>
      <c r="AB15" s="429">
        <v>588717</v>
      </c>
      <c r="AC15" s="430"/>
      <c r="AD15" s="429">
        <v>183337</v>
      </c>
      <c r="AE15" s="429">
        <v>189466</v>
      </c>
      <c r="AF15" s="429">
        <v>196063</v>
      </c>
      <c r="AG15" s="429">
        <v>139784</v>
      </c>
      <c r="AH15" s="429">
        <v>708650</v>
      </c>
      <c r="AI15" s="430"/>
      <c r="AJ15" s="429">
        <v>9220</v>
      </c>
      <c r="AK15" s="429">
        <v>36221</v>
      </c>
      <c r="AL15" s="429">
        <v>85636</v>
      </c>
      <c r="AM15" s="429">
        <v>58306</v>
      </c>
      <c r="AN15" s="429">
        <v>189383</v>
      </c>
      <c r="AO15" s="430"/>
      <c r="AP15" s="429">
        <v>187706</v>
      </c>
      <c r="AQ15" s="429">
        <v>212004</v>
      </c>
      <c r="AR15" s="429">
        <v>233522</v>
      </c>
      <c r="AS15" s="429">
        <v>244236</v>
      </c>
      <c r="AT15" s="429">
        <v>877468</v>
      </c>
    </row>
    <row r="16" spans="1:46" ht="15" customHeight="1" x14ac:dyDescent="0.2">
      <c r="A16" s="396"/>
      <c r="B16" s="301"/>
      <c r="C16" s="47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30"/>
      <c r="R16" s="429"/>
      <c r="S16" s="429"/>
      <c r="T16" s="429"/>
      <c r="U16" s="429"/>
      <c r="V16" s="429"/>
      <c r="W16" s="430"/>
      <c r="X16" s="429"/>
      <c r="Y16" s="429"/>
      <c r="Z16" s="429"/>
      <c r="AA16" s="429"/>
      <c r="AB16" s="429"/>
      <c r="AC16" s="430"/>
      <c r="AD16" s="429"/>
      <c r="AE16" s="429"/>
      <c r="AF16" s="429"/>
      <c r="AG16" s="429"/>
      <c r="AH16" s="429"/>
      <c r="AI16" s="430"/>
      <c r="AJ16" s="429"/>
      <c r="AK16" s="429"/>
      <c r="AL16" s="429"/>
      <c r="AM16" s="429"/>
      <c r="AN16" s="429"/>
      <c r="AO16" s="430"/>
      <c r="AP16" s="429"/>
      <c r="AQ16" s="429"/>
      <c r="AR16" s="429"/>
      <c r="AS16" s="429"/>
      <c r="AT16" s="429"/>
    </row>
    <row r="17" spans="1:46" ht="15" customHeight="1" x14ac:dyDescent="0.2">
      <c r="A17" s="396" t="str">
        <f>IF(Contents!$A$1=2,"Production of hydrocarbons, including our share in equity affiliates","Добыча углеводородов Группой с учётом доли в зависимых компаниях")</f>
        <v>Добыча углеводородов Группой с учётом доли в зависимых компаниях</v>
      </c>
      <c r="B17" s="294" t="str">
        <f>IF(Contents!$A$1=2,"th. boe per day","тыс. барр. н. э./сут")</f>
        <v>тыс. барр. н. э./сут</v>
      </c>
      <c r="C17" s="47"/>
      <c r="D17" s="429">
        <v>2314</v>
      </c>
      <c r="E17" s="429"/>
      <c r="F17" s="429">
        <v>2369</v>
      </c>
      <c r="G17" s="429">
        <v>2377</v>
      </c>
      <c r="H17" s="429">
        <v>2371</v>
      </c>
      <c r="I17" s="429">
        <v>2395</v>
      </c>
      <c r="J17" s="429">
        <v>2379</v>
      </c>
      <c r="K17" s="429"/>
      <c r="L17" s="429">
        <v>2413</v>
      </c>
      <c r="M17" s="429">
        <v>2223</v>
      </c>
      <c r="N17" s="429">
        <v>2207</v>
      </c>
      <c r="O17" s="429">
        <v>2262.0804371528916</v>
      </c>
      <c r="P17" s="429">
        <v>2276</v>
      </c>
      <c r="Q17" s="430"/>
      <c r="R17" s="429">
        <v>2244</v>
      </c>
      <c r="S17" s="429">
        <v>2258</v>
      </c>
      <c r="T17" s="429">
        <v>2259</v>
      </c>
      <c r="U17" s="429">
        <v>2315</v>
      </c>
      <c r="V17" s="429">
        <v>2269</v>
      </c>
      <c r="W17" s="430"/>
      <c r="X17" s="429">
        <v>2320</v>
      </c>
      <c r="Y17" s="429">
        <v>2313</v>
      </c>
      <c r="Z17" s="429">
        <v>2362</v>
      </c>
      <c r="AA17" s="429">
        <v>2391</v>
      </c>
      <c r="AB17" s="429">
        <v>2347</v>
      </c>
      <c r="AC17" s="430"/>
      <c r="AD17" s="429">
        <v>2407</v>
      </c>
      <c r="AE17" s="429">
        <v>2355</v>
      </c>
      <c r="AF17" s="429">
        <v>2339</v>
      </c>
      <c r="AG17" s="429">
        <v>2419</v>
      </c>
      <c r="AH17" s="429">
        <v>2380</v>
      </c>
      <c r="AI17" s="430"/>
      <c r="AJ17" s="429">
        <v>2382</v>
      </c>
      <c r="AK17" s="429">
        <v>2064</v>
      </c>
      <c r="AL17" s="429">
        <v>1927</v>
      </c>
      <c r="AM17" s="429">
        <v>2099</v>
      </c>
      <c r="AN17" s="429">
        <v>2117</v>
      </c>
      <c r="AO17" s="430"/>
      <c r="AP17" s="429">
        <v>2198</v>
      </c>
      <c r="AQ17" s="429">
        <v>2100</v>
      </c>
      <c r="AR17" s="429">
        <v>2152</v>
      </c>
      <c r="AS17" s="429">
        <v>2331</v>
      </c>
      <c r="AT17" s="429">
        <v>2195</v>
      </c>
    </row>
    <row r="18" spans="1:46" ht="15" customHeight="1" x14ac:dyDescent="0.2">
      <c r="A18" s="397" t="str">
        <f>IF(Contents!$A$1=2,"crude oil and natural gas liquids","нефть и жидкие углеводороды")</f>
        <v>нефть и жидкие углеводороды</v>
      </c>
      <c r="B18" s="294" t="str">
        <f>IF(Contents!$A$1=2,"th. boe per day","тыс. барр. н. э./сут")</f>
        <v>тыс. барр. н. э./сут</v>
      </c>
      <c r="C18" s="47"/>
      <c r="D18" s="429">
        <v>1992</v>
      </c>
      <c r="E18" s="429"/>
      <c r="F18" s="429">
        <v>2033</v>
      </c>
      <c r="G18" s="429">
        <v>2055</v>
      </c>
      <c r="H18" s="429">
        <v>2066</v>
      </c>
      <c r="I18" s="429">
        <v>2052</v>
      </c>
      <c r="J18" s="429">
        <v>2052</v>
      </c>
      <c r="K18" s="429"/>
      <c r="L18" s="429">
        <v>2006</v>
      </c>
      <c r="M18" s="429">
        <v>1836</v>
      </c>
      <c r="N18" s="429">
        <v>1815</v>
      </c>
      <c r="O18" s="429">
        <v>1843.725716490557</v>
      </c>
      <c r="P18" s="429">
        <v>1875</v>
      </c>
      <c r="Q18" s="430"/>
      <c r="R18" s="429">
        <v>1822</v>
      </c>
      <c r="S18" s="429">
        <v>1808</v>
      </c>
      <c r="T18" s="429">
        <v>1795</v>
      </c>
      <c r="U18" s="429">
        <v>1791</v>
      </c>
      <c r="V18" s="429">
        <v>1804</v>
      </c>
      <c r="W18" s="430"/>
      <c r="X18" s="429">
        <v>1797</v>
      </c>
      <c r="Y18" s="429">
        <v>1787</v>
      </c>
      <c r="Z18" s="429">
        <v>1817</v>
      </c>
      <c r="AA18" s="429">
        <v>1821</v>
      </c>
      <c r="AB18" s="429">
        <v>1806</v>
      </c>
      <c r="AC18" s="430"/>
      <c r="AD18" s="429">
        <v>1820</v>
      </c>
      <c r="AE18" s="429">
        <v>1813</v>
      </c>
      <c r="AF18" s="429">
        <v>1811</v>
      </c>
      <c r="AG18" s="429">
        <v>1816</v>
      </c>
      <c r="AH18" s="429">
        <v>1815</v>
      </c>
      <c r="AI18" s="430"/>
      <c r="AJ18" s="429">
        <v>1838</v>
      </c>
      <c r="AK18" s="429">
        <v>1650</v>
      </c>
      <c r="AL18" s="429">
        <v>1545</v>
      </c>
      <c r="AM18" s="429">
        <v>1573</v>
      </c>
      <c r="AN18" s="429">
        <v>1651</v>
      </c>
      <c r="AO18" s="430"/>
      <c r="AP18" s="429">
        <v>1624</v>
      </c>
      <c r="AQ18" s="429">
        <v>1643</v>
      </c>
      <c r="AR18" s="429">
        <v>1662</v>
      </c>
      <c r="AS18" s="429">
        <v>1779</v>
      </c>
      <c r="AT18" s="429">
        <v>1677</v>
      </c>
    </row>
    <row r="19" spans="1:46" ht="15" customHeight="1" x14ac:dyDescent="0.2">
      <c r="A19" s="397" t="str">
        <f>IF(Contents!$A$1=2,"gas","газ")</f>
        <v>газ</v>
      </c>
      <c r="B19" s="294" t="str">
        <f>IF(Contents!$A$1=2,"th. boe per day","тыс. барр. н. э./сут")</f>
        <v>тыс. барр. н. э./сут</v>
      </c>
      <c r="C19" s="47"/>
      <c r="D19" s="429">
        <v>0</v>
      </c>
      <c r="E19" s="429"/>
      <c r="F19" s="429">
        <v>0</v>
      </c>
      <c r="G19" s="429">
        <v>0</v>
      </c>
      <c r="H19" s="429">
        <v>0</v>
      </c>
      <c r="I19" s="429">
        <v>0</v>
      </c>
      <c r="J19" s="429">
        <v>0</v>
      </c>
      <c r="K19" s="429"/>
      <c r="L19" s="429">
        <v>407</v>
      </c>
      <c r="M19" s="429">
        <v>387</v>
      </c>
      <c r="N19" s="429">
        <v>392</v>
      </c>
      <c r="O19" s="429">
        <v>418.3547206623345</v>
      </c>
      <c r="P19" s="429">
        <v>401</v>
      </c>
      <c r="Q19" s="430"/>
      <c r="R19" s="429">
        <v>422</v>
      </c>
      <c r="S19" s="429">
        <v>450</v>
      </c>
      <c r="T19" s="429">
        <v>464</v>
      </c>
      <c r="U19" s="429">
        <v>524</v>
      </c>
      <c r="V19" s="429">
        <v>465</v>
      </c>
      <c r="W19" s="430"/>
      <c r="X19" s="429">
        <v>523</v>
      </c>
      <c r="Y19" s="429">
        <v>526</v>
      </c>
      <c r="Z19" s="429">
        <v>545</v>
      </c>
      <c r="AA19" s="429">
        <v>570</v>
      </c>
      <c r="AB19" s="429">
        <v>541</v>
      </c>
      <c r="AC19" s="430"/>
      <c r="AD19" s="429">
        <v>587</v>
      </c>
      <c r="AE19" s="429">
        <v>542</v>
      </c>
      <c r="AF19" s="429">
        <v>528</v>
      </c>
      <c r="AG19" s="429">
        <v>603</v>
      </c>
      <c r="AH19" s="429">
        <v>565</v>
      </c>
      <c r="AI19" s="430"/>
      <c r="AJ19" s="429">
        <v>544</v>
      </c>
      <c r="AK19" s="429">
        <v>414</v>
      </c>
      <c r="AL19" s="429">
        <v>382</v>
      </c>
      <c r="AM19" s="429">
        <v>526</v>
      </c>
      <c r="AN19" s="429">
        <v>466</v>
      </c>
      <c r="AO19" s="430"/>
      <c r="AP19" s="429">
        <v>574</v>
      </c>
      <c r="AQ19" s="429">
        <v>457</v>
      </c>
      <c r="AR19" s="429">
        <v>490</v>
      </c>
      <c r="AS19" s="429">
        <v>552</v>
      </c>
      <c r="AT19" s="429">
        <v>518</v>
      </c>
    </row>
    <row r="20" spans="1:46" ht="15" customHeight="1" x14ac:dyDescent="0.2">
      <c r="A20" s="396" t="str">
        <f>IF(Contents!$A$1=2,"Refinery throughput at the Group refineries","Переработка нефти на НПЗ Группы")</f>
        <v>Переработка нефти на НПЗ Группы</v>
      </c>
      <c r="B20" s="294" t="str">
        <f>IF(Contents!$A$1=2,"th. boe per day","тыс. барр. н. э./сут")</f>
        <v>тыс. барр. н. э./сут</v>
      </c>
      <c r="C20" s="47"/>
      <c r="D20" s="429">
        <v>0</v>
      </c>
      <c r="E20" s="429"/>
      <c r="F20" s="429">
        <v>0</v>
      </c>
      <c r="G20" s="429">
        <v>0</v>
      </c>
      <c r="H20" s="429">
        <v>0</v>
      </c>
      <c r="I20" s="429">
        <v>0</v>
      </c>
      <c r="J20" s="429">
        <v>0</v>
      </c>
      <c r="K20" s="429"/>
      <c r="L20" s="429">
        <v>0</v>
      </c>
      <c r="M20" s="429">
        <v>0</v>
      </c>
      <c r="N20" s="429">
        <v>0</v>
      </c>
      <c r="O20" s="429">
        <v>0</v>
      </c>
      <c r="P20" s="429">
        <v>0</v>
      </c>
      <c r="Q20" s="430"/>
      <c r="R20" s="429">
        <v>0</v>
      </c>
      <c r="S20" s="429">
        <v>0</v>
      </c>
      <c r="T20" s="429">
        <v>0</v>
      </c>
      <c r="U20" s="429">
        <v>0</v>
      </c>
      <c r="V20" s="429">
        <v>0</v>
      </c>
      <c r="W20" s="430"/>
      <c r="X20" s="429">
        <v>1312</v>
      </c>
      <c r="Y20" s="429">
        <v>1348</v>
      </c>
      <c r="Z20" s="429">
        <v>1392</v>
      </c>
      <c r="AA20" s="429">
        <v>1355</v>
      </c>
      <c r="AB20" s="429">
        <v>1352</v>
      </c>
      <c r="AC20" s="430"/>
      <c r="AD20" s="429">
        <v>1358</v>
      </c>
      <c r="AE20" s="429">
        <v>1355</v>
      </c>
      <c r="AF20" s="429">
        <v>1454</v>
      </c>
      <c r="AG20" s="429">
        <v>1355</v>
      </c>
      <c r="AH20" s="429">
        <v>1381</v>
      </c>
      <c r="AI20" s="430"/>
      <c r="AJ20" s="429">
        <v>1377</v>
      </c>
      <c r="AK20" s="429">
        <v>1089</v>
      </c>
      <c r="AL20" s="429">
        <v>1183</v>
      </c>
      <c r="AM20" s="429">
        <v>1047</v>
      </c>
      <c r="AN20" s="429">
        <v>1174</v>
      </c>
      <c r="AO20" s="430"/>
      <c r="AP20" s="429">
        <v>1176</v>
      </c>
      <c r="AQ20" s="429">
        <v>1268</v>
      </c>
      <c r="AR20" s="429">
        <v>1378</v>
      </c>
      <c r="AS20" s="429">
        <v>1233</v>
      </c>
      <c r="AT20" s="429">
        <v>1264</v>
      </c>
    </row>
    <row r="21" spans="1:46" ht="15" customHeight="1" x14ac:dyDescent="0.2">
      <c r="A21" s="61" t="str">
        <f>IF(Contents!$A$1=2,"¹ Profit from operating activities before depreciation, depletion and amortization","¹ Операционная прибыль до вычета износа и амортизации")</f>
        <v>¹ Операционная прибыль до вычета износа и амортизации</v>
      </c>
      <c r="B21" s="301"/>
      <c r="C21" s="47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231"/>
      <c r="R21" s="188"/>
      <c r="S21" s="188"/>
      <c r="T21" s="188"/>
      <c r="U21" s="188"/>
      <c r="V21" s="188"/>
      <c r="W21" s="231"/>
      <c r="X21" s="188"/>
      <c r="Y21" s="188"/>
      <c r="Z21" s="188"/>
      <c r="AA21" s="188"/>
      <c r="AB21" s="188"/>
      <c r="AC21" s="231"/>
      <c r="AD21" s="188"/>
      <c r="AE21" s="188"/>
      <c r="AF21" s="188"/>
      <c r="AG21" s="188"/>
      <c r="AH21" s="188"/>
      <c r="AI21" s="231"/>
      <c r="AJ21" s="188"/>
      <c r="AK21" s="188"/>
      <c r="AL21" s="188"/>
      <c r="AM21" s="188"/>
      <c r="AN21" s="188"/>
      <c r="AO21" s="231"/>
      <c r="AP21" s="188"/>
      <c r="AQ21" s="188"/>
      <c r="AR21" s="188"/>
      <c r="AS21" s="188"/>
    </row>
    <row r="22" spans="1:46" ht="15" customHeight="1" x14ac:dyDescent="0.2">
      <c r="A22" s="61" t="str">
        <f>IF(Contents!$A$1=2,"² Cash flow from operating activities less capital expenditures","² Денежный поток от операционной деятельности за вычетом капитальных затрат")</f>
        <v>² Денежный поток от операционной деятельности за вычетом капитальных затрат</v>
      </c>
      <c r="B22" s="301"/>
      <c r="C22" s="47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231"/>
      <c r="R22" s="188"/>
      <c r="S22" s="188"/>
      <c r="T22" s="188"/>
      <c r="U22" s="188"/>
      <c r="V22" s="188"/>
      <c r="W22" s="231"/>
      <c r="X22" s="188"/>
      <c r="Y22" s="188"/>
      <c r="Z22" s="188"/>
      <c r="AA22" s="188"/>
      <c r="AB22" s="188"/>
      <c r="AC22" s="231"/>
      <c r="AD22" s="188"/>
      <c r="AE22" s="188"/>
      <c r="AF22" s="188"/>
      <c r="AG22" s="188"/>
      <c r="AH22" s="188"/>
      <c r="AI22" s="231"/>
      <c r="AJ22" s="188"/>
      <c r="AK22" s="188"/>
      <c r="AL22" s="188"/>
      <c r="AM22" s="188"/>
      <c r="AN22" s="188"/>
      <c r="AO22" s="231"/>
      <c r="AP22" s="188"/>
      <c r="AQ22" s="188"/>
      <c r="AR22" s="188"/>
      <c r="AS22" s="188"/>
    </row>
    <row r="23" spans="1:46" ht="15" customHeight="1" x14ac:dyDescent="0.2">
      <c r="A23" s="71"/>
      <c r="B23" s="296"/>
      <c r="C23" s="42"/>
      <c r="D23" s="46"/>
      <c r="E23" s="41"/>
      <c r="F23" s="46"/>
      <c r="G23" s="46"/>
      <c r="H23" s="46"/>
      <c r="I23" s="46"/>
      <c r="J23" s="46"/>
      <c r="K23" s="41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</row>
    <row r="24" spans="1:46" ht="15" customHeight="1" x14ac:dyDescent="0.2">
      <c r="A24" s="209" t="str">
        <f>IF(Contents!$A$1=2,"Contents","Содержание")</f>
        <v>Содержание</v>
      </c>
      <c r="B24" s="299"/>
    </row>
  </sheetData>
  <conditionalFormatting sqref="D1:Q1">
    <cfRule type="containsText" dxfId="1166" priority="27" operator="containsText" text="ложь">
      <formula>NOT(ISERROR(SEARCH("ложь",D1)))</formula>
    </cfRule>
  </conditionalFormatting>
  <conditionalFormatting sqref="D1:Q1">
    <cfRule type="containsText" dxfId="1165" priority="26" operator="containsText" text="ложь">
      <formula>NOT(ISERROR(SEARCH("ложь",D1)))</formula>
    </cfRule>
  </conditionalFormatting>
  <conditionalFormatting sqref="R1:AB1">
    <cfRule type="containsText" dxfId="1164" priority="23" operator="containsText" text="ложь">
      <formula>NOT(ISERROR(SEARCH("ложь",R1)))</formula>
    </cfRule>
  </conditionalFormatting>
  <conditionalFormatting sqref="AC1:AO1">
    <cfRule type="containsText" dxfId="1163" priority="16" operator="containsText" text="ложь">
      <formula>NOT(ISERROR(SEARCH("ложь",AC1)))</formula>
    </cfRule>
  </conditionalFormatting>
  <conditionalFormatting sqref="A7">
    <cfRule type="containsText" dxfId="1162" priority="12" operator="containsText" text="ложь">
      <formula>NOT(ISERROR(SEARCH("ложь",A7)))</formula>
    </cfRule>
  </conditionalFormatting>
  <conditionalFormatting sqref="A8">
    <cfRule type="containsText" dxfId="1161" priority="11" operator="containsText" text="ложь">
      <formula>NOT(ISERROR(SEARCH("ложь",A8)))</formula>
    </cfRule>
  </conditionalFormatting>
  <conditionalFormatting sqref="A9">
    <cfRule type="containsText" dxfId="1160" priority="10" operator="containsText" text="ложь">
      <formula>NOT(ISERROR(SEARCH("ложь",A9)))</formula>
    </cfRule>
  </conditionalFormatting>
  <conditionalFormatting sqref="A10">
    <cfRule type="containsText" dxfId="1159" priority="9" operator="containsText" text="ложь">
      <formula>NOT(ISERROR(SEARCH("ложь",A10)))</formula>
    </cfRule>
  </conditionalFormatting>
  <conditionalFormatting sqref="A21">
    <cfRule type="containsText" dxfId="1158" priority="6" operator="containsText" text="ложь">
      <formula>NOT(ISERROR(SEARCH("ложь",A21)))</formula>
    </cfRule>
  </conditionalFormatting>
  <conditionalFormatting sqref="A22">
    <cfRule type="containsText" dxfId="1157" priority="5" operator="containsText" text="ложь">
      <formula>NOT(ISERROR(SEARCH("ложь",A22)))</formula>
    </cfRule>
  </conditionalFormatting>
  <conditionalFormatting sqref="AP1:AT1">
    <cfRule type="containsText" dxfId="1156" priority="1" operator="containsText" text="ложь">
      <formula>NOT(ISERROR(SEARCH("ложь",AP1)))</formula>
    </cfRule>
  </conditionalFormatting>
  <hyperlinks>
    <hyperlink ref="A24" location="Contents!A1" display="Contents!A1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ignoredErrors>
    <ignoredError sqref="AC11 AI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>
    <pageSetUpPr fitToPage="1"/>
  </sheetPr>
  <dimension ref="A1:AU114"/>
  <sheetViews>
    <sheetView showGridLines="0" zoomScaleNormal="10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0" customWidth="1"/>
    <col min="3" max="3" width="0.85546875" style="20" customWidth="1"/>
    <col min="4" max="4" width="10.7109375" style="20" customWidth="1"/>
    <col min="5" max="5" width="0.85546875" style="220" customWidth="1"/>
    <col min="6" max="9" width="10.7109375" style="20" hidden="1" customWidth="1" outlineLevel="1"/>
    <col min="10" max="10" width="10.7109375" style="20" customWidth="1" collapsed="1"/>
    <col min="11" max="11" width="0.85546875" style="220" customWidth="1"/>
    <col min="12" max="15" width="10.7109375" style="20" hidden="1" customWidth="1" outlineLevel="1"/>
    <col min="16" max="16" width="10.7109375" style="20" customWidth="1" collapsed="1"/>
    <col min="17" max="17" width="0.85546875" style="2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5" width="10.7109375" style="20" customWidth="1"/>
    <col min="46" max="16384" width="9.140625" style="20"/>
  </cols>
  <sheetData>
    <row r="1" spans="1:47" s="220" customFormat="1" ht="15" customHeight="1" x14ac:dyDescent="0.2"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7" s="47" customFormat="1" ht="15" customHeight="1" x14ac:dyDescent="0.2">
      <c r="A2" s="335" t="str">
        <f>IF(Contents!$A$1=2,"PRODUCTION","ДОБЫЧА")</f>
        <v>ДОБЫЧА</v>
      </c>
      <c r="B2" s="133"/>
      <c r="E2" s="349"/>
      <c r="K2" s="349"/>
      <c r="Q2" s="349"/>
      <c r="W2" s="349"/>
      <c r="AC2" s="349"/>
      <c r="AI2" s="349"/>
      <c r="AO2" s="349"/>
    </row>
    <row r="3" spans="1:47" ht="15" customHeight="1" thickBot="1" x14ac:dyDescent="0.25">
      <c r="A3" s="132"/>
      <c r="B3" s="132"/>
      <c r="C3" s="31"/>
      <c r="D3" s="31"/>
      <c r="E3" s="60"/>
      <c r="F3" s="31"/>
      <c r="G3" s="31"/>
      <c r="H3" s="31"/>
      <c r="I3" s="31"/>
      <c r="J3" s="31"/>
      <c r="K3" s="60"/>
      <c r="L3" s="31"/>
      <c r="M3" s="31"/>
      <c r="N3" s="31"/>
      <c r="O3" s="31"/>
      <c r="P3" s="31"/>
      <c r="Q3" s="60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7" ht="15" customHeight="1" thickTop="1" x14ac:dyDescent="0.2"/>
    <row r="5" spans="1:47" ht="15" customHeight="1" x14ac:dyDescent="0.2">
      <c r="A5" s="39" t="str">
        <f>IF(Contents!$A$1=2,"Daily hydrocarbon production","Суточная добыча углеводородов")</f>
        <v>Суточная добыча углеводородов</v>
      </c>
      <c r="B5" s="39"/>
    </row>
    <row r="7" spans="1:47" s="1" customFormat="1" ht="15" customHeight="1" x14ac:dyDescent="0.2">
      <c r="A7" s="75"/>
      <c r="B7" s="97"/>
      <c r="C7" s="16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17">
        <v>2017</v>
      </c>
      <c r="W7" s="324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17">
        <v>2018</v>
      </c>
      <c r="AC7" s="324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17">
        <v>2019</v>
      </c>
      <c r="AI7" s="324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17">
        <v>2020</v>
      </c>
      <c r="AO7" s="324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17">
        <v>2021</v>
      </c>
    </row>
    <row r="8" spans="1:47" s="1" customFormat="1" ht="15" customHeight="1" x14ac:dyDescent="0.2">
      <c r="A8" s="140" t="str">
        <f>IF(Contents!$A$1=2,"Daily hydrocarbon production","Суточная добыча углеводородов")</f>
        <v>Суточная добыча углеводородов</v>
      </c>
      <c r="B8" s="276" t="str">
        <f>IF(Contents!$A$1=2,"th. boe per day","тыс. барр. н. э./сут")</f>
        <v>тыс. барр. н. э./сут</v>
      </c>
      <c r="C8" s="141"/>
      <c r="D8" s="467">
        <v>2314</v>
      </c>
      <c r="E8" s="436"/>
      <c r="F8" s="436">
        <v>2369</v>
      </c>
      <c r="G8" s="436">
        <v>2377</v>
      </c>
      <c r="H8" s="436">
        <v>2371</v>
      </c>
      <c r="I8" s="436">
        <v>2395</v>
      </c>
      <c r="J8" s="436">
        <v>2379</v>
      </c>
      <c r="K8" s="436"/>
      <c r="L8" s="436">
        <v>2413</v>
      </c>
      <c r="M8" s="436">
        <v>2223</v>
      </c>
      <c r="N8" s="436">
        <v>2207</v>
      </c>
      <c r="O8" s="436">
        <v>2262.0804371528916</v>
      </c>
      <c r="P8" s="434">
        <v>2276</v>
      </c>
      <c r="Q8" s="434"/>
      <c r="R8" s="436">
        <v>2244</v>
      </c>
      <c r="S8" s="436">
        <v>2258</v>
      </c>
      <c r="T8" s="436">
        <v>2259</v>
      </c>
      <c r="U8" s="436">
        <v>2315</v>
      </c>
      <c r="V8" s="434">
        <v>2269</v>
      </c>
      <c r="W8" s="434"/>
      <c r="X8" s="434">
        <v>2320</v>
      </c>
      <c r="Y8" s="434">
        <v>2313</v>
      </c>
      <c r="Z8" s="434">
        <v>2362</v>
      </c>
      <c r="AA8" s="434">
        <v>2391</v>
      </c>
      <c r="AB8" s="434">
        <v>2347</v>
      </c>
      <c r="AC8" s="434"/>
      <c r="AD8" s="434">
        <v>2407</v>
      </c>
      <c r="AE8" s="434">
        <v>2355</v>
      </c>
      <c r="AF8" s="434">
        <v>2339</v>
      </c>
      <c r="AG8" s="434">
        <v>2419</v>
      </c>
      <c r="AH8" s="434">
        <v>2380</v>
      </c>
      <c r="AI8" s="434"/>
      <c r="AJ8" s="434">
        <v>2382</v>
      </c>
      <c r="AK8" s="434">
        <v>2064</v>
      </c>
      <c r="AL8" s="434">
        <v>1927</v>
      </c>
      <c r="AM8" s="434">
        <v>2099</v>
      </c>
      <c r="AN8" s="434">
        <v>2117</v>
      </c>
      <c r="AO8" s="434"/>
      <c r="AP8" s="434">
        <v>2198</v>
      </c>
      <c r="AQ8" s="434">
        <v>2100</v>
      </c>
      <c r="AR8" s="434">
        <v>2152</v>
      </c>
      <c r="AS8" s="434">
        <v>2331</v>
      </c>
      <c r="AT8" s="434">
        <v>2195</v>
      </c>
    </row>
    <row r="9" spans="1:47" s="1" customFormat="1" ht="15" customHeight="1" x14ac:dyDescent="0.2">
      <c r="A9" s="142" t="str">
        <f>IF(Contents!$A$1=2,"Crude oil and natural gas liquids","Суточная добыча нефти и жидких углеводородов")</f>
        <v>Суточная добыча нефти и жидких углеводородов</v>
      </c>
      <c r="B9" s="277" t="str">
        <f>IF(Contents!$A$1=2,"th. boe per day","тыс. барр. н. э./сут")</f>
        <v>тыс. барр. н. э./сут</v>
      </c>
      <c r="C9" s="141"/>
      <c r="D9" s="470">
        <v>1992</v>
      </c>
      <c r="E9" s="438"/>
      <c r="F9" s="438">
        <v>2033</v>
      </c>
      <c r="G9" s="438">
        <v>2055</v>
      </c>
      <c r="H9" s="438">
        <v>2066</v>
      </c>
      <c r="I9" s="438">
        <v>2052</v>
      </c>
      <c r="J9" s="438">
        <v>2052</v>
      </c>
      <c r="K9" s="438"/>
      <c r="L9" s="438">
        <v>2006</v>
      </c>
      <c r="M9" s="438">
        <v>1836</v>
      </c>
      <c r="N9" s="438">
        <v>1815</v>
      </c>
      <c r="O9" s="438">
        <v>1843.725716490557</v>
      </c>
      <c r="P9" s="439">
        <v>1875</v>
      </c>
      <c r="Q9" s="439"/>
      <c r="R9" s="438">
        <v>1822</v>
      </c>
      <c r="S9" s="438">
        <v>1808</v>
      </c>
      <c r="T9" s="438">
        <v>1795</v>
      </c>
      <c r="U9" s="438">
        <v>1791</v>
      </c>
      <c r="V9" s="439">
        <v>1804</v>
      </c>
      <c r="W9" s="439"/>
      <c r="X9" s="438">
        <v>1797</v>
      </c>
      <c r="Y9" s="438">
        <v>1787</v>
      </c>
      <c r="Z9" s="438">
        <v>1817</v>
      </c>
      <c r="AA9" s="438">
        <v>1821</v>
      </c>
      <c r="AB9" s="438">
        <v>1806</v>
      </c>
      <c r="AC9" s="439"/>
      <c r="AD9" s="438">
        <v>1820</v>
      </c>
      <c r="AE9" s="438">
        <v>1813</v>
      </c>
      <c r="AF9" s="438">
        <v>1811</v>
      </c>
      <c r="AG9" s="438">
        <v>1816</v>
      </c>
      <c r="AH9" s="438">
        <v>1815</v>
      </c>
      <c r="AI9" s="438"/>
      <c r="AJ9" s="438">
        <v>1838</v>
      </c>
      <c r="AK9" s="438">
        <v>1650</v>
      </c>
      <c r="AL9" s="438">
        <v>1545</v>
      </c>
      <c r="AM9" s="438">
        <v>1573</v>
      </c>
      <c r="AN9" s="438">
        <v>1651</v>
      </c>
      <c r="AO9" s="438"/>
      <c r="AP9" s="438">
        <v>1624</v>
      </c>
      <c r="AQ9" s="438">
        <v>1643</v>
      </c>
      <c r="AR9" s="438">
        <v>1662</v>
      </c>
      <c r="AS9" s="438">
        <v>1779</v>
      </c>
      <c r="AT9" s="438">
        <v>1677</v>
      </c>
    </row>
    <row r="10" spans="1:47" s="1" customFormat="1" ht="15" customHeight="1" x14ac:dyDescent="0.2">
      <c r="A10" s="142" t="str">
        <f>IF(Contents!$A$1=2,"Natural and petroleum gas¹","Суточная добыча природного и нефтяного газа¹")</f>
        <v>Суточная добыча природного и нефтяного газа¹</v>
      </c>
      <c r="B10" s="278" t="str">
        <f>IF(Contents!$A$1=2,"th. boe per day","тыс. барр. н. э./сут")</f>
        <v>тыс. барр. н. э./сут</v>
      </c>
      <c r="C10" s="79"/>
      <c r="D10" s="418">
        <v>322</v>
      </c>
      <c r="E10" s="438"/>
      <c r="F10" s="418">
        <v>336</v>
      </c>
      <c r="G10" s="418">
        <v>322</v>
      </c>
      <c r="H10" s="418">
        <v>305</v>
      </c>
      <c r="I10" s="418">
        <v>343</v>
      </c>
      <c r="J10" s="418">
        <v>327</v>
      </c>
      <c r="K10" s="438"/>
      <c r="L10" s="418">
        <v>407</v>
      </c>
      <c r="M10" s="418">
        <v>387</v>
      </c>
      <c r="N10" s="418">
        <v>392</v>
      </c>
      <c r="O10" s="418">
        <v>418.3547206623345</v>
      </c>
      <c r="P10" s="418">
        <v>401</v>
      </c>
      <c r="Q10" s="418"/>
      <c r="R10" s="418">
        <v>422</v>
      </c>
      <c r="S10" s="418">
        <v>450</v>
      </c>
      <c r="T10" s="418">
        <v>464</v>
      </c>
      <c r="U10" s="418">
        <v>524</v>
      </c>
      <c r="V10" s="418">
        <v>465</v>
      </c>
      <c r="W10" s="418"/>
      <c r="X10" s="418">
        <v>523</v>
      </c>
      <c r="Y10" s="418">
        <v>526</v>
      </c>
      <c r="Z10" s="418">
        <v>545</v>
      </c>
      <c r="AA10" s="418">
        <v>570</v>
      </c>
      <c r="AB10" s="418">
        <v>541</v>
      </c>
      <c r="AC10" s="418"/>
      <c r="AD10" s="418">
        <v>587</v>
      </c>
      <c r="AE10" s="418">
        <v>542</v>
      </c>
      <c r="AF10" s="418">
        <v>528</v>
      </c>
      <c r="AG10" s="418">
        <v>603</v>
      </c>
      <c r="AH10" s="418">
        <v>565</v>
      </c>
      <c r="AI10" s="418"/>
      <c r="AJ10" s="418">
        <v>544</v>
      </c>
      <c r="AK10" s="418">
        <v>414</v>
      </c>
      <c r="AL10" s="418">
        <v>382</v>
      </c>
      <c r="AM10" s="418">
        <v>526</v>
      </c>
      <c r="AN10" s="418">
        <v>466</v>
      </c>
      <c r="AO10" s="418"/>
      <c r="AP10" s="418">
        <v>574</v>
      </c>
      <c r="AQ10" s="418">
        <v>457</v>
      </c>
      <c r="AR10" s="418">
        <v>490</v>
      </c>
      <c r="AS10" s="418">
        <v>552</v>
      </c>
      <c r="AT10" s="418">
        <v>518</v>
      </c>
    </row>
    <row r="11" spans="1:47" ht="15" customHeight="1" x14ac:dyDescent="0.2">
      <c r="A11" s="61" t="str">
        <f>IF(Contents!$A$1=2,"¹ Since 2016 natural and petroleum gas production less flaring, reinjection, and gas processed into natural gas liquids at gas processing plants. In 2014- 2015 gas available for sale","¹ С 2016 г. природный и нефтяной газ до факела, обратной закачки и газа, направленного на выработку жидких углеводородов на ГПЗ. В 2014-2015 гг. товарный газ.")</f>
        <v>¹ С 2016 г. природный и нефтяной газ до факела, обратной закачки и газа, направленного на выработку жидких углеводородов на ГПЗ. В 2014-2015 гг. товарный газ.</v>
      </c>
      <c r="B11" s="32"/>
      <c r="C11" s="7"/>
      <c r="D11" s="196"/>
      <c r="E11" s="13"/>
      <c r="F11" s="196"/>
      <c r="G11" s="196"/>
      <c r="H11" s="196"/>
      <c r="I11" s="196"/>
      <c r="J11" s="196"/>
      <c r="K11" s="13"/>
      <c r="L11" s="196"/>
      <c r="M11" s="196"/>
      <c r="N11" s="196"/>
      <c r="O11" s="196"/>
      <c r="P11" s="196"/>
      <c r="Q11" s="196"/>
      <c r="R11" s="196"/>
      <c r="S11" s="196"/>
      <c r="T11" s="196"/>
      <c r="U11" s="337"/>
      <c r="V11" s="196"/>
      <c r="W11" s="196"/>
      <c r="X11" s="196"/>
      <c r="Y11" s="196"/>
      <c r="Z11" s="196"/>
      <c r="AA11" s="337"/>
      <c r="AB11" s="196"/>
      <c r="AC11" s="196"/>
      <c r="AD11" s="196"/>
      <c r="AE11" s="196"/>
      <c r="AF11" s="196"/>
      <c r="AG11" s="337"/>
      <c r="AH11" s="196"/>
      <c r="AI11" s="196"/>
      <c r="AJ11" s="196"/>
      <c r="AK11" s="196"/>
      <c r="AL11" s="196"/>
      <c r="AM11" s="337"/>
      <c r="AN11" s="196"/>
      <c r="AO11" s="196"/>
      <c r="AP11" s="196"/>
      <c r="AQ11" s="196"/>
      <c r="AR11" s="196"/>
      <c r="AS11" s="196"/>
    </row>
    <row r="12" spans="1:47" ht="15" customHeight="1" x14ac:dyDescent="0.2">
      <c r="A12" s="61"/>
      <c r="B12" s="32"/>
      <c r="C12" s="7"/>
      <c r="D12" s="196"/>
      <c r="E12" s="13"/>
      <c r="F12" s="196"/>
      <c r="G12" s="196"/>
      <c r="H12" s="196"/>
      <c r="I12" s="196"/>
      <c r="J12" s="196"/>
      <c r="K12" s="13"/>
      <c r="L12" s="196"/>
      <c r="M12" s="196"/>
      <c r="N12" s="196"/>
      <c r="O12" s="196"/>
      <c r="P12" s="196"/>
      <c r="Q12" s="196"/>
      <c r="R12" s="196"/>
      <c r="S12" s="196"/>
      <c r="T12" s="196"/>
      <c r="U12" s="337"/>
      <c r="V12" s="196"/>
      <c r="W12" s="196"/>
      <c r="X12" s="196"/>
      <c r="Y12" s="196"/>
      <c r="Z12" s="196"/>
      <c r="AA12" s="337"/>
      <c r="AB12" s="196"/>
      <c r="AC12" s="196"/>
      <c r="AD12" s="196"/>
      <c r="AE12" s="196"/>
      <c r="AF12" s="196"/>
      <c r="AG12" s="337"/>
      <c r="AH12" s="196"/>
      <c r="AI12" s="196"/>
      <c r="AJ12" s="196"/>
      <c r="AK12" s="196"/>
      <c r="AL12" s="196"/>
      <c r="AM12" s="337"/>
      <c r="AN12" s="196"/>
      <c r="AO12" s="196"/>
      <c r="AP12" s="196"/>
      <c r="AQ12" s="196"/>
      <c r="AR12" s="196"/>
      <c r="AS12" s="196"/>
    </row>
    <row r="13" spans="1:47" ht="15" customHeight="1" x14ac:dyDescent="0.2">
      <c r="A13" s="61"/>
      <c r="B13" s="32"/>
      <c r="C13" s="7"/>
      <c r="D13" s="196"/>
      <c r="E13" s="13"/>
      <c r="F13" s="196"/>
      <c r="G13" s="196"/>
      <c r="H13" s="196"/>
      <c r="I13" s="196"/>
      <c r="J13" s="196"/>
      <c r="K13" s="13"/>
      <c r="L13" s="196"/>
      <c r="M13" s="196"/>
      <c r="N13" s="196"/>
      <c r="O13" s="196"/>
      <c r="P13" s="196"/>
      <c r="Q13" s="196"/>
      <c r="R13" s="196"/>
      <c r="S13" s="196"/>
      <c r="T13" s="196"/>
      <c r="U13" s="337"/>
      <c r="V13" s="196"/>
      <c r="W13" s="196"/>
      <c r="X13" s="196"/>
      <c r="Y13" s="196"/>
      <c r="Z13" s="196"/>
      <c r="AA13" s="337"/>
      <c r="AB13" s="196"/>
      <c r="AC13" s="196"/>
      <c r="AD13" s="196"/>
      <c r="AE13" s="196"/>
      <c r="AF13" s="196"/>
      <c r="AG13" s="337"/>
      <c r="AH13" s="196"/>
      <c r="AI13" s="196"/>
      <c r="AJ13" s="196"/>
      <c r="AK13" s="196"/>
      <c r="AL13" s="196"/>
      <c r="AM13" s="337"/>
      <c r="AN13" s="196"/>
      <c r="AO13" s="196"/>
      <c r="AP13" s="196"/>
      <c r="AQ13" s="196"/>
      <c r="AR13" s="196"/>
      <c r="AS13" s="196"/>
    </row>
    <row r="14" spans="1:47" ht="15" customHeight="1" x14ac:dyDescent="0.2">
      <c r="A14" s="39" t="str">
        <f>IF(Contents!$A$1=2,"Crude oil production","Добыча нефти")</f>
        <v>Добыча нефти</v>
      </c>
      <c r="B14" s="39"/>
      <c r="C14" s="2"/>
      <c r="D14" s="201"/>
      <c r="E14" s="237"/>
      <c r="F14" s="4"/>
      <c r="G14" s="4"/>
      <c r="H14" s="4"/>
      <c r="I14" s="4"/>
      <c r="J14" s="201"/>
      <c r="K14" s="237"/>
      <c r="L14" s="4"/>
      <c r="M14" s="4"/>
      <c r="N14" s="4"/>
      <c r="O14" s="4"/>
      <c r="P14" s="4"/>
      <c r="Q14" s="237"/>
      <c r="R14" s="4"/>
      <c r="S14" s="4"/>
      <c r="T14" s="4"/>
      <c r="U14" s="4"/>
      <c r="V14" s="4"/>
      <c r="W14" s="237"/>
      <c r="X14" s="4"/>
      <c r="Y14" s="4"/>
      <c r="Z14" s="4"/>
      <c r="AA14" s="4"/>
      <c r="AB14" s="4"/>
      <c r="AC14" s="237"/>
      <c r="AD14" s="4"/>
      <c r="AE14" s="4"/>
      <c r="AF14" s="4"/>
      <c r="AG14" s="4"/>
      <c r="AH14" s="4"/>
      <c r="AI14" s="237"/>
      <c r="AJ14" s="4"/>
      <c r="AK14" s="4"/>
      <c r="AL14" s="4"/>
      <c r="AM14" s="4"/>
      <c r="AN14" s="4"/>
      <c r="AO14" s="237"/>
      <c r="AP14" s="4"/>
      <c r="AQ14" s="4"/>
      <c r="AR14" s="4"/>
      <c r="AS14" s="4"/>
      <c r="AT14" s="220"/>
      <c r="AU14" s="220"/>
    </row>
    <row r="15" spans="1:47" ht="15" customHeight="1" x14ac:dyDescent="0.2">
      <c r="A15" s="23"/>
      <c r="B15" s="23"/>
      <c r="C15" s="2"/>
      <c r="D15" s="201"/>
      <c r="E15" s="237"/>
      <c r="F15" s="4"/>
      <c r="G15" s="4"/>
      <c r="H15" s="4"/>
      <c r="I15" s="4"/>
      <c r="J15" s="201"/>
      <c r="K15" s="237"/>
      <c r="L15" s="4"/>
      <c r="M15" s="4"/>
      <c r="N15" s="4"/>
      <c r="O15" s="4"/>
      <c r="P15" s="4"/>
      <c r="Q15" s="237"/>
      <c r="R15" s="4"/>
      <c r="S15" s="4"/>
      <c r="T15" s="4"/>
      <c r="U15" s="4"/>
      <c r="V15" s="4"/>
      <c r="W15" s="237"/>
      <c r="X15" s="4"/>
      <c r="Y15" s="4"/>
      <c r="Z15" s="4"/>
      <c r="AA15" s="4"/>
      <c r="AB15" s="4"/>
      <c r="AC15" s="237"/>
      <c r="AD15" s="4"/>
      <c r="AE15" s="4"/>
      <c r="AF15" s="4"/>
      <c r="AG15" s="4"/>
      <c r="AH15" s="4"/>
      <c r="AI15" s="237"/>
      <c r="AJ15" s="4"/>
      <c r="AK15" s="4"/>
      <c r="AL15" s="4"/>
      <c r="AM15" s="4"/>
      <c r="AN15" s="4"/>
      <c r="AO15" s="237"/>
      <c r="AP15" s="4"/>
      <c r="AQ15" s="4"/>
      <c r="AR15" s="4"/>
      <c r="AS15" s="4"/>
      <c r="AT15" s="220"/>
      <c r="AU15" s="220"/>
    </row>
    <row r="16" spans="1:47" s="21" customFormat="1" ht="15" customHeight="1" x14ac:dyDescent="0.3">
      <c r="A16" s="44" t="str">
        <f>IF(Contents!$A$1=2,"Crude oil and natural gas liquids","Суточная добыча нефти и жидких углеводородов")</f>
        <v>Суточная добыча нефти и жидких углеводородов</v>
      </c>
      <c r="B16" s="44"/>
      <c r="D16" s="198"/>
      <c r="E16" s="236"/>
      <c r="F16" s="198"/>
      <c r="G16" s="198"/>
      <c r="H16" s="198"/>
      <c r="I16" s="198"/>
      <c r="J16" s="198"/>
      <c r="K16" s="236"/>
      <c r="L16" s="198"/>
      <c r="M16" s="198"/>
      <c r="N16" s="198"/>
      <c r="O16" s="198"/>
      <c r="P16" s="198"/>
      <c r="Q16" s="236"/>
      <c r="R16" s="198"/>
      <c r="S16" s="198"/>
      <c r="T16" s="198"/>
      <c r="U16" s="198"/>
      <c r="V16" s="198"/>
      <c r="W16" s="236"/>
      <c r="X16" s="198"/>
      <c r="Y16" s="198"/>
      <c r="Z16" s="198"/>
      <c r="AA16" s="198"/>
      <c r="AB16" s="198"/>
      <c r="AC16" s="236"/>
      <c r="AD16" s="198"/>
      <c r="AE16" s="198"/>
      <c r="AF16" s="198"/>
      <c r="AG16" s="198"/>
      <c r="AH16" s="198"/>
      <c r="AI16" s="236"/>
      <c r="AJ16" s="198"/>
      <c r="AK16" s="198"/>
      <c r="AL16" s="198"/>
      <c r="AM16" s="198"/>
      <c r="AN16" s="198"/>
      <c r="AO16" s="236"/>
      <c r="AP16" s="198"/>
      <c r="AQ16" s="198"/>
      <c r="AR16" s="198"/>
      <c r="AS16" s="198"/>
    </row>
    <row r="17" spans="1:46" ht="15" customHeight="1" x14ac:dyDescent="0.2">
      <c r="A17" s="38"/>
      <c r="B17" s="38"/>
      <c r="D17" s="197"/>
      <c r="E17" s="235"/>
      <c r="F17" s="197"/>
      <c r="G17" s="197"/>
      <c r="H17" s="197"/>
      <c r="I17" s="197"/>
      <c r="J17" s="197"/>
      <c r="K17" s="235"/>
      <c r="L17" s="197"/>
      <c r="M17" s="197"/>
      <c r="N17" s="197"/>
      <c r="O17" s="197"/>
      <c r="P17" s="197"/>
      <c r="Q17" s="235"/>
      <c r="R17" s="197"/>
      <c r="S17" s="197"/>
      <c r="T17" s="197"/>
      <c r="U17" s="197"/>
      <c r="V17" s="197"/>
      <c r="W17" s="235"/>
      <c r="X17" s="197"/>
      <c r="Y17" s="197"/>
      <c r="Z17" s="197"/>
      <c r="AA17" s="197"/>
      <c r="AB17" s="197"/>
      <c r="AC17" s="235"/>
      <c r="AD17" s="197"/>
      <c r="AE17" s="197"/>
      <c r="AF17" s="197"/>
      <c r="AG17" s="197"/>
      <c r="AH17" s="197"/>
      <c r="AI17" s="235"/>
      <c r="AJ17" s="197"/>
      <c r="AK17" s="197"/>
      <c r="AL17" s="197"/>
      <c r="AM17" s="197"/>
      <c r="AN17" s="197"/>
      <c r="AO17" s="235"/>
      <c r="AP17" s="197"/>
      <c r="AQ17" s="197"/>
      <c r="AR17" s="197"/>
      <c r="AS17" s="197"/>
    </row>
    <row r="18" spans="1:46" s="206" customFormat="1" ht="15" customHeight="1" x14ac:dyDescent="0.2">
      <c r="A18" s="75"/>
      <c r="B18" s="134"/>
      <c r="C18" s="16"/>
      <c r="D18" s="329">
        <v>2014</v>
      </c>
      <c r="E18" s="330"/>
      <c r="F18" s="325" t="str">
        <f>IF(Contents!$A$1=2,"1Q","1 кв")</f>
        <v>1 кв</v>
      </c>
      <c r="G18" s="325" t="str">
        <f>IF(Contents!$A$1=2,"2Q","2 кв")</f>
        <v>2 кв</v>
      </c>
      <c r="H18" s="325" t="str">
        <f>IF(Contents!$A$1=2,"3Q","3 кв")</f>
        <v>3 кв</v>
      </c>
      <c r="I18" s="325" t="str">
        <f>IF(Contents!$A$1=2,"4Q","4 кв")</f>
        <v>4 кв</v>
      </c>
      <c r="J18" s="329">
        <v>2015</v>
      </c>
      <c r="K18" s="330"/>
      <c r="L18" s="325" t="str">
        <f>IF(Contents!$A$1=2,"1Q","1 кв")</f>
        <v>1 кв</v>
      </c>
      <c r="M18" s="325" t="str">
        <f>IF(Contents!$A$1=2,"2Q","2 кв")</f>
        <v>2 кв</v>
      </c>
      <c r="N18" s="325" t="str">
        <f>IF(Contents!$A$1=2,"3Q","3 кв")</f>
        <v>3 кв</v>
      </c>
      <c r="O18" s="325" t="str">
        <f>IF(Contents!$A$1=2,"4Q","4 кв")</f>
        <v>4 кв</v>
      </c>
      <c r="P18" s="329">
        <v>2016</v>
      </c>
      <c r="Q18" s="330"/>
      <c r="R18" s="325" t="str">
        <f>IF(Contents!$A$1=2,"1Q","1 кв")</f>
        <v>1 кв</v>
      </c>
      <c r="S18" s="325" t="str">
        <f>IF(Contents!$A$1=2,"2Q","2 кв")</f>
        <v>2 кв</v>
      </c>
      <c r="T18" s="325" t="str">
        <f>IF(Contents!$A$1=2,"3Q","3 кв")</f>
        <v>3 кв</v>
      </c>
      <c r="U18" s="325" t="str">
        <f>IF(Contents!$A$1=2,"4Q","4 кв")</f>
        <v>4 кв</v>
      </c>
      <c r="V18" s="317">
        <v>2017</v>
      </c>
      <c r="W18" s="324"/>
      <c r="X18" s="325" t="str">
        <f>IF(Contents!$A$1=2,"1Q","1 кв")</f>
        <v>1 кв</v>
      </c>
      <c r="Y18" s="325" t="str">
        <f>IF(Contents!$A$1=2,"2Q","2 кв")</f>
        <v>2 кв</v>
      </c>
      <c r="Z18" s="325" t="str">
        <f>IF(Contents!$A$1=2,"3Q","3 кв")</f>
        <v>3 кв</v>
      </c>
      <c r="AA18" s="325" t="str">
        <f>IF(Contents!$A$1=2,"4Q","4 кв")</f>
        <v>4 кв</v>
      </c>
      <c r="AB18" s="317">
        <v>2018</v>
      </c>
      <c r="AC18" s="324"/>
      <c r="AD18" s="325" t="str">
        <f>IF(Contents!$A$1=2,"1Q","1 кв")</f>
        <v>1 кв</v>
      </c>
      <c r="AE18" s="325" t="str">
        <f>IF(Contents!$A$1=2,"2Q","2 кв")</f>
        <v>2 кв</v>
      </c>
      <c r="AF18" s="325" t="str">
        <f>IF(Contents!$A$1=2,"3Q","3 кв")</f>
        <v>3 кв</v>
      </c>
      <c r="AG18" s="325" t="str">
        <f>IF(Contents!$A$1=2,"4Q","4 кв")</f>
        <v>4 кв</v>
      </c>
      <c r="AH18" s="317">
        <v>2019</v>
      </c>
      <c r="AI18" s="324"/>
      <c r="AJ18" s="325" t="str">
        <f>IF(Contents!$A$1=2,"1Q","1 кв")</f>
        <v>1 кв</v>
      </c>
      <c r="AK18" s="325" t="str">
        <f>IF(Contents!$A$1=2,"2Q","2 кв")</f>
        <v>2 кв</v>
      </c>
      <c r="AL18" s="325" t="str">
        <f>IF(Contents!$A$1=2,"3Q","3 кв")</f>
        <v>3 кв</v>
      </c>
      <c r="AM18" s="325" t="str">
        <f>IF(Contents!$A$1=2,"4Q","4 кв")</f>
        <v>4 кв</v>
      </c>
      <c r="AN18" s="317">
        <v>2020</v>
      </c>
      <c r="AO18" s="324"/>
      <c r="AP18" s="325" t="str">
        <f>IF(Contents!$A$1=2,"1Q","1 кв")</f>
        <v>1 кв</v>
      </c>
      <c r="AQ18" s="325" t="str">
        <f>IF(Contents!$A$1=2,"2Q","2 кв")</f>
        <v>2 кв</v>
      </c>
      <c r="AR18" s="325" t="str">
        <f>IF(Contents!$A$1=2,"3Q","3 кв")</f>
        <v>3 кв</v>
      </c>
      <c r="AS18" s="325" t="str">
        <f>IF(Contents!$A$1=2,"4Q","4 кв")</f>
        <v>4 кв</v>
      </c>
      <c r="AT18" s="317">
        <v>2021</v>
      </c>
    </row>
    <row r="19" spans="1:46" s="206" customFormat="1" ht="15" customHeight="1" x14ac:dyDescent="0.2">
      <c r="A19" s="143" t="str">
        <f>IF(Contents!$A$1=2,"Total crude oil and natural gas liquids","Итого добыча нефти и жидких углеводородов")</f>
        <v>Итого добыча нефти и жидких углеводородов</v>
      </c>
      <c r="B19" s="282" t="str">
        <f>IF(Contents!$A$1=2,"th. boe per day","тыс. барр. н. э./сут")</f>
        <v>тыс. барр. н. э./сут</v>
      </c>
      <c r="C19" s="141"/>
      <c r="D19" s="490">
        <v>1992</v>
      </c>
      <c r="E19" s="436"/>
      <c r="F19" s="435">
        <v>2033</v>
      </c>
      <c r="G19" s="435">
        <v>2055</v>
      </c>
      <c r="H19" s="435">
        <v>2066</v>
      </c>
      <c r="I19" s="435">
        <v>2052</v>
      </c>
      <c r="J19" s="435">
        <v>2052</v>
      </c>
      <c r="K19" s="436"/>
      <c r="L19" s="435">
        <v>2006</v>
      </c>
      <c r="M19" s="435">
        <v>1836</v>
      </c>
      <c r="N19" s="435">
        <v>1815</v>
      </c>
      <c r="O19" s="435">
        <v>1843.725716490557</v>
      </c>
      <c r="P19" s="433">
        <v>1875</v>
      </c>
      <c r="Q19" s="434"/>
      <c r="R19" s="435">
        <v>1822</v>
      </c>
      <c r="S19" s="435">
        <v>1808</v>
      </c>
      <c r="T19" s="435">
        <v>1795</v>
      </c>
      <c r="U19" s="435">
        <v>1791</v>
      </c>
      <c r="V19" s="433">
        <v>1804</v>
      </c>
      <c r="W19" s="434"/>
      <c r="X19" s="435">
        <v>1797</v>
      </c>
      <c r="Y19" s="435">
        <v>1787</v>
      </c>
      <c r="Z19" s="435">
        <v>1817</v>
      </c>
      <c r="AA19" s="435">
        <v>1821</v>
      </c>
      <c r="AB19" s="435">
        <v>1806</v>
      </c>
      <c r="AC19" s="434"/>
      <c r="AD19" s="435">
        <v>1820</v>
      </c>
      <c r="AE19" s="435">
        <v>1813</v>
      </c>
      <c r="AF19" s="435">
        <v>1811</v>
      </c>
      <c r="AG19" s="435">
        <v>1816</v>
      </c>
      <c r="AH19" s="435">
        <v>1815</v>
      </c>
      <c r="AI19" s="436"/>
      <c r="AJ19" s="435">
        <v>1838</v>
      </c>
      <c r="AK19" s="435">
        <v>1650</v>
      </c>
      <c r="AL19" s="435">
        <v>1545</v>
      </c>
      <c r="AM19" s="435">
        <v>1573</v>
      </c>
      <c r="AN19" s="435">
        <v>1651</v>
      </c>
      <c r="AO19" s="436"/>
      <c r="AP19" s="435">
        <v>1624</v>
      </c>
      <c r="AQ19" s="435">
        <v>1643</v>
      </c>
      <c r="AR19" s="435">
        <v>1662</v>
      </c>
      <c r="AS19" s="435">
        <v>1779</v>
      </c>
      <c r="AT19" s="435">
        <v>1677</v>
      </c>
    </row>
    <row r="20" spans="1:46" s="206" customFormat="1" ht="15" customHeight="1" x14ac:dyDescent="0.2">
      <c r="A20" s="234" t="str">
        <f>IF(Contents!$A$1=2,"Total consolidated subsidiaries","Дочерние предприятия Группы")</f>
        <v>Дочерние предприятия Группы</v>
      </c>
      <c r="B20" s="282" t="str">
        <f>IF(Contents!$A$1=2,"th. boe per day","тыс. барр. н. э./сут")</f>
        <v>тыс. барр. н. э./сут</v>
      </c>
      <c r="C20" s="141"/>
      <c r="D20" s="490">
        <v>1916</v>
      </c>
      <c r="E20" s="436"/>
      <c r="F20" s="435">
        <v>1954</v>
      </c>
      <c r="G20" s="435">
        <v>1980</v>
      </c>
      <c r="H20" s="435">
        <v>2003</v>
      </c>
      <c r="I20" s="435">
        <v>1996</v>
      </c>
      <c r="J20" s="435">
        <v>1984</v>
      </c>
      <c r="K20" s="436"/>
      <c r="L20" s="435">
        <v>1947</v>
      </c>
      <c r="M20" s="435">
        <v>1777</v>
      </c>
      <c r="N20" s="435">
        <v>1763</v>
      </c>
      <c r="O20" s="435">
        <v>1782.881989177783</v>
      </c>
      <c r="P20" s="433">
        <v>1817</v>
      </c>
      <c r="Q20" s="434"/>
      <c r="R20" s="435">
        <v>1761</v>
      </c>
      <c r="S20" s="435">
        <v>1748</v>
      </c>
      <c r="T20" s="435">
        <v>1743</v>
      </c>
      <c r="U20" s="435">
        <v>1740</v>
      </c>
      <c r="V20" s="433">
        <v>1748</v>
      </c>
      <c r="W20" s="434"/>
      <c r="X20" s="435">
        <v>1745</v>
      </c>
      <c r="Y20" s="435">
        <v>1737</v>
      </c>
      <c r="Z20" s="435">
        <v>1770</v>
      </c>
      <c r="AA20" s="435">
        <v>1772</v>
      </c>
      <c r="AB20" s="435">
        <v>1756</v>
      </c>
      <c r="AC20" s="434"/>
      <c r="AD20" s="435">
        <v>1769</v>
      </c>
      <c r="AE20" s="435">
        <v>1763</v>
      </c>
      <c r="AF20" s="435">
        <v>1763</v>
      </c>
      <c r="AG20" s="435">
        <v>1765</v>
      </c>
      <c r="AH20" s="435">
        <v>1765</v>
      </c>
      <c r="AI20" s="436"/>
      <c r="AJ20" s="435">
        <v>1789</v>
      </c>
      <c r="AK20" s="435">
        <v>1607</v>
      </c>
      <c r="AL20" s="435">
        <v>1506</v>
      </c>
      <c r="AM20" s="435">
        <v>1532</v>
      </c>
      <c r="AN20" s="435">
        <v>1608</v>
      </c>
      <c r="AO20" s="436"/>
      <c r="AP20" s="435">
        <v>1582</v>
      </c>
      <c r="AQ20" s="435">
        <v>1601</v>
      </c>
      <c r="AR20" s="435">
        <v>1630</v>
      </c>
      <c r="AS20" s="435">
        <v>1736</v>
      </c>
      <c r="AT20" s="435">
        <v>1638</v>
      </c>
    </row>
    <row r="21" spans="1:46" s="206" customFormat="1" ht="15" customHeight="1" x14ac:dyDescent="0.2">
      <c r="A21" s="121" t="str">
        <f>IF(Contents!$A$1=2,"Total in Russia","Добыча в России ")</f>
        <v xml:space="preserve">Добыча в России </v>
      </c>
      <c r="B21" s="278" t="str">
        <f>IF(Contents!$A$1=2,"th. boe per day","тыс. барр. н. э./сут")</f>
        <v>тыс. барр. н. э./сут</v>
      </c>
      <c r="C21" s="79"/>
      <c r="D21" s="418">
        <v>1765</v>
      </c>
      <c r="E21" s="438"/>
      <c r="F21" s="418">
        <v>1756</v>
      </c>
      <c r="G21" s="418">
        <v>1762</v>
      </c>
      <c r="H21" s="418">
        <v>1732</v>
      </c>
      <c r="I21" s="418">
        <v>1718</v>
      </c>
      <c r="J21" s="418">
        <v>1743</v>
      </c>
      <c r="K21" s="438"/>
      <c r="L21" s="418">
        <v>1703</v>
      </c>
      <c r="M21" s="418">
        <v>1671</v>
      </c>
      <c r="N21" s="418">
        <v>1646</v>
      </c>
      <c r="O21" s="418">
        <v>1688.8237841211705</v>
      </c>
      <c r="P21" s="418">
        <v>1677</v>
      </c>
      <c r="Q21" s="418"/>
      <c r="R21" s="418">
        <v>1683</v>
      </c>
      <c r="S21" s="418">
        <v>1667</v>
      </c>
      <c r="T21" s="418">
        <v>1662</v>
      </c>
      <c r="U21" s="418">
        <v>1665</v>
      </c>
      <c r="V21" s="418">
        <v>1669</v>
      </c>
      <c r="W21" s="418"/>
      <c r="X21" s="418">
        <v>1661</v>
      </c>
      <c r="Y21" s="418">
        <v>1667</v>
      </c>
      <c r="Z21" s="418">
        <v>1690</v>
      </c>
      <c r="AA21" s="418">
        <v>1703</v>
      </c>
      <c r="AB21" s="418">
        <v>1681</v>
      </c>
      <c r="AC21" s="418"/>
      <c r="AD21" s="418">
        <v>1693</v>
      </c>
      <c r="AE21" s="418">
        <v>1686</v>
      </c>
      <c r="AF21" s="418">
        <v>1681</v>
      </c>
      <c r="AG21" s="418">
        <v>1673</v>
      </c>
      <c r="AH21" s="418">
        <v>1683</v>
      </c>
      <c r="AI21" s="418"/>
      <c r="AJ21" s="418">
        <v>1678</v>
      </c>
      <c r="AK21" s="418">
        <v>1472</v>
      </c>
      <c r="AL21" s="418">
        <v>1420</v>
      </c>
      <c r="AM21" s="418">
        <v>1441</v>
      </c>
      <c r="AN21" s="418">
        <v>1502</v>
      </c>
      <c r="AO21" s="418"/>
      <c r="AP21" s="418">
        <v>1481</v>
      </c>
      <c r="AQ21" s="418">
        <v>1520</v>
      </c>
      <c r="AR21" s="418">
        <v>1570</v>
      </c>
      <c r="AS21" s="418">
        <v>1646</v>
      </c>
      <c r="AT21" s="418">
        <v>1555</v>
      </c>
    </row>
    <row r="22" spans="1:46" s="206" customFormat="1" ht="15" customHeight="1" x14ac:dyDescent="0.2">
      <c r="A22" s="122" t="str">
        <f>IF(Contents!$A$1=2,"West Siberia","Западная Сибирь")</f>
        <v>Западная Сибирь</v>
      </c>
      <c r="B22" s="278" t="str">
        <f>IF(Contents!$A$1=2,"th. boe per day","тыс. барр. н. э./сут")</f>
        <v>тыс. барр. н. э./сут</v>
      </c>
      <c r="C22" s="141"/>
      <c r="D22" s="439">
        <v>970</v>
      </c>
      <c r="E22" s="439"/>
      <c r="F22" s="439">
        <v>944</v>
      </c>
      <c r="G22" s="439">
        <v>926</v>
      </c>
      <c r="H22" s="439">
        <v>901</v>
      </c>
      <c r="I22" s="439">
        <v>884</v>
      </c>
      <c r="J22" s="439">
        <v>914</v>
      </c>
      <c r="K22" s="439"/>
      <c r="L22" s="439">
        <v>865</v>
      </c>
      <c r="M22" s="439">
        <v>845</v>
      </c>
      <c r="N22" s="439">
        <v>818</v>
      </c>
      <c r="O22" s="439">
        <v>826.04102698005113</v>
      </c>
      <c r="P22" s="439">
        <v>838</v>
      </c>
      <c r="Q22" s="439"/>
      <c r="R22" s="439">
        <v>821</v>
      </c>
      <c r="S22" s="439">
        <v>809</v>
      </c>
      <c r="T22" s="439">
        <v>795</v>
      </c>
      <c r="U22" s="439">
        <v>780</v>
      </c>
      <c r="V22" s="439">
        <v>801</v>
      </c>
      <c r="W22" s="439"/>
      <c r="X22" s="439">
        <v>771</v>
      </c>
      <c r="Y22" s="439">
        <v>770</v>
      </c>
      <c r="Z22" s="439">
        <v>780</v>
      </c>
      <c r="AA22" s="439">
        <v>774</v>
      </c>
      <c r="AB22" s="439">
        <v>774</v>
      </c>
      <c r="AC22" s="439"/>
      <c r="AD22" s="439">
        <v>768</v>
      </c>
      <c r="AE22" s="439">
        <v>765</v>
      </c>
      <c r="AF22" s="439">
        <v>768</v>
      </c>
      <c r="AG22" s="439">
        <v>760</v>
      </c>
      <c r="AH22" s="439">
        <v>765</v>
      </c>
      <c r="AI22" s="439"/>
      <c r="AJ22" s="439">
        <v>760</v>
      </c>
      <c r="AK22" s="439">
        <v>657</v>
      </c>
      <c r="AL22" s="439">
        <v>620</v>
      </c>
      <c r="AM22" s="439">
        <v>641</v>
      </c>
      <c r="AN22" s="439">
        <v>669</v>
      </c>
      <c r="AO22" s="439"/>
      <c r="AP22" s="439">
        <v>655</v>
      </c>
      <c r="AQ22" s="439">
        <v>687</v>
      </c>
      <c r="AR22" s="439">
        <v>710</v>
      </c>
      <c r="AS22" s="439">
        <v>761</v>
      </c>
      <c r="AT22" s="439">
        <v>704</v>
      </c>
    </row>
    <row r="23" spans="1:46" s="206" customFormat="1" ht="15" customHeight="1" x14ac:dyDescent="0.2">
      <c r="A23" s="122" t="str">
        <f>IF(Contents!$A$1=2,"Timan-Pechora ","Тимано-Печора")</f>
        <v>Тимано-Печора</v>
      </c>
      <c r="B23" s="278" t="str">
        <f>IF(Contents!$A$1=2,"th. boe per day","тыс. барр. н. э./сут")</f>
        <v>тыс. барр. н. э./сут</v>
      </c>
      <c r="C23" s="141"/>
      <c r="D23" s="418">
        <v>313</v>
      </c>
      <c r="E23" s="439"/>
      <c r="F23" s="439">
        <v>325</v>
      </c>
      <c r="G23" s="439">
        <v>339</v>
      </c>
      <c r="H23" s="439">
        <v>340</v>
      </c>
      <c r="I23" s="439">
        <v>340</v>
      </c>
      <c r="J23" s="439">
        <v>336</v>
      </c>
      <c r="K23" s="439"/>
      <c r="L23" s="439">
        <v>346</v>
      </c>
      <c r="M23" s="439">
        <v>341</v>
      </c>
      <c r="N23" s="439">
        <v>338</v>
      </c>
      <c r="O23" s="439">
        <v>329.64603274456954</v>
      </c>
      <c r="P23" s="439">
        <v>339</v>
      </c>
      <c r="Q23" s="439"/>
      <c r="R23" s="439">
        <v>321</v>
      </c>
      <c r="S23" s="439">
        <v>303</v>
      </c>
      <c r="T23" s="439">
        <v>312</v>
      </c>
      <c r="U23" s="439">
        <v>313</v>
      </c>
      <c r="V23" s="439">
        <v>312</v>
      </c>
      <c r="W23" s="439"/>
      <c r="X23" s="439">
        <v>317</v>
      </c>
      <c r="Y23" s="439">
        <v>314</v>
      </c>
      <c r="Z23" s="439">
        <v>318</v>
      </c>
      <c r="AA23" s="439">
        <v>323</v>
      </c>
      <c r="AB23" s="439">
        <v>318</v>
      </c>
      <c r="AC23" s="439"/>
      <c r="AD23" s="439">
        <v>319</v>
      </c>
      <c r="AE23" s="439">
        <v>318</v>
      </c>
      <c r="AF23" s="439">
        <v>320</v>
      </c>
      <c r="AG23" s="439">
        <v>313</v>
      </c>
      <c r="AH23" s="439">
        <v>317</v>
      </c>
      <c r="AI23" s="439"/>
      <c r="AJ23" s="439">
        <v>318</v>
      </c>
      <c r="AK23" s="439">
        <v>273</v>
      </c>
      <c r="AL23" s="439">
        <v>255</v>
      </c>
      <c r="AM23" s="439">
        <v>250</v>
      </c>
      <c r="AN23" s="439">
        <v>274</v>
      </c>
      <c r="AO23" s="439"/>
      <c r="AP23" s="439">
        <v>265</v>
      </c>
      <c r="AQ23" s="439">
        <v>275</v>
      </c>
      <c r="AR23" s="439">
        <v>284</v>
      </c>
      <c r="AS23" s="439">
        <v>300</v>
      </c>
      <c r="AT23" s="439">
        <v>281</v>
      </c>
    </row>
    <row r="24" spans="1:46" s="206" customFormat="1" ht="15" customHeight="1" x14ac:dyDescent="0.2">
      <c r="A24" s="122" t="str">
        <f>IF(Contents!$A$1=2,"Ural region","Урал")</f>
        <v>Урал</v>
      </c>
      <c r="B24" s="278" t="str">
        <f>IF(Contents!$A$1=2,"th. boe per day","тыс. барр. н. э./сут")</f>
        <v>тыс. барр. н. э./сут</v>
      </c>
      <c r="C24" s="141"/>
      <c r="D24" s="418">
        <v>308</v>
      </c>
      <c r="E24" s="439"/>
      <c r="F24" s="439">
        <v>311</v>
      </c>
      <c r="G24" s="439">
        <v>320</v>
      </c>
      <c r="H24" s="439">
        <v>317</v>
      </c>
      <c r="I24" s="439">
        <v>319</v>
      </c>
      <c r="J24" s="439">
        <v>317</v>
      </c>
      <c r="K24" s="439"/>
      <c r="L24" s="439">
        <v>323</v>
      </c>
      <c r="M24" s="439">
        <v>323</v>
      </c>
      <c r="N24" s="439">
        <v>321</v>
      </c>
      <c r="O24" s="439">
        <v>323.33000997934562</v>
      </c>
      <c r="P24" s="439">
        <v>322</v>
      </c>
      <c r="Q24" s="439"/>
      <c r="R24" s="439">
        <v>324</v>
      </c>
      <c r="S24" s="439">
        <v>325</v>
      </c>
      <c r="T24" s="439">
        <v>321</v>
      </c>
      <c r="U24" s="439">
        <v>327</v>
      </c>
      <c r="V24" s="439">
        <v>324</v>
      </c>
      <c r="W24" s="439"/>
      <c r="X24" s="439">
        <v>326</v>
      </c>
      <c r="Y24" s="439">
        <v>327</v>
      </c>
      <c r="Z24" s="439">
        <v>326</v>
      </c>
      <c r="AA24" s="439">
        <v>333</v>
      </c>
      <c r="AB24" s="439">
        <v>328</v>
      </c>
      <c r="AC24" s="439"/>
      <c r="AD24" s="439">
        <v>335</v>
      </c>
      <c r="AE24" s="439">
        <v>334</v>
      </c>
      <c r="AF24" s="439">
        <v>334</v>
      </c>
      <c r="AG24" s="439">
        <v>334</v>
      </c>
      <c r="AH24" s="439">
        <v>334</v>
      </c>
      <c r="AI24" s="439"/>
      <c r="AJ24" s="439">
        <v>338</v>
      </c>
      <c r="AK24" s="439">
        <v>299</v>
      </c>
      <c r="AL24" s="439">
        <v>304</v>
      </c>
      <c r="AM24" s="439">
        <v>314</v>
      </c>
      <c r="AN24" s="439">
        <v>313</v>
      </c>
      <c r="AO24" s="439"/>
      <c r="AP24" s="439">
        <v>312</v>
      </c>
      <c r="AQ24" s="439">
        <v>309</v>
      </c>
      <c r="AR24" s="439">
        <v>325</v>
      </c>
      <c r="AS24" s="439">
        <v>344</v>
      </c>
      <c r="AT24" s="439">
        <v>323</v>
      </c>
    </row>
    <row r="25" spans="1:46" s="206" customFormat="1" ht="15" customHeight="1" x14ac:dyDescent="0.2">
      <c r="A25" s="123" t="str">
        <f>IF(Contents!$A$1=2,"Volga region","Поволжье")</f>
        <v>Поволжье</v>
      </c>
      <c r="B25" s="277" t="str">
        <f>IF(Contents!$A$1=2,"th. boe per day","тыс. барр. н. э./сут")</f>
        <v>тыс. барр. н. э./сут</v>
      </c>
      <c r="C25" s="79"/>
      <c r="D25" s="470">
        <v>136</v>
      </c>
      <c r="E25" s="438"/>
      <c r="F25" s="438">
        <v>139</v>
      </c>
      <c r="G25" s="438">
        <v>140</v>
      </c>
      <c r="H25" s="438">
        <v>136</v>
      </c>
      <c r="I25" s="438">
        <v>138</v>
      </c>
      <c r="J25" s="438">
        <v>139</v>
      </c>
      <c r="K25" s="438"/>
      <c r="L25" s="438">
        <v>133</v>
      </c>
      <c r="M25" s="438">
        <v>126</v>
      </c>
      <c r="N25" s="438">
        <v>133</v>
      </c>
      <c r="O25" s="438">
        <v>174.77921447295543</v>
      </c>
      <c r="P25" s="438">
        <v>142</v>
      </c>
      <c r="Q25" s="438"/>
      <c r="R25" s="438">
        <v>183</v>
      </c>
      <c r="S25" s="438">
        <v>197</v>
      </c>
      <c r="T25" s="438">
        <v>201</v>
      </c>
      <c r="U25" s="438">
        <v>213</v>
      </c>
      <c r="V25" s="438">
        <v>199</v>
      </c>
      <c r="W25" s="438"/>
      <c r="X25" s="438">
        <v>216</v>
      </c>
      <c r="Y25" s="438">
        <v>225</v>
      </c>
      <c r="Z25" s="438">
        <v>235</v>
      </c>
      <c r="AA25" s="438">
        <v>242</v>
      </c>
      <c r="AB25" s="438">
        <v>229</v>
      </c>
      <c r="AC25" s="438"/>
      <c r="AD25" s="438">
        <v>240</v>
      </c>
      <c r="AE25" s="438">
        <v>238</v>
      </c>
      <c r="AF25" s="438">
        <v>228</v>
      </c>
      <c r="AG25" s="438">
        <v>235</v>
      </c>
      <c r="AH25" s="438">
        <v>235</v>
      </c>
      <c r="AI25" s="438"/>
      <c r="AJ25" s="438">
        <v>232</v>
      </c>
      <c r="AK25" s="438">
        <v>214</v>
      </c>
      <c r="AL25" s="438">
        <v>212</v>
      </c>
      <c r="AM25" s="438">
        <v>209</v>
      </c>
      <c r="AN25" s="438">
        <v>217</v>
      </c>
      <c r="AO25" s="438"/>
      <c r="AP25" s="438">
        <v>221</v>
      </c>
      <c r="AQ25" s="438">
        <v>221</v>
      </c>
      <c r="AR25" s="438">
        <v>223</v>
      </c>
      <c r="AS25" s="438">
        <v>214</v>
      </c>
      <c r="AT25" s="438">
        <v>219</v>
      </c>
    </row>
    <row r="26" spans="1:46" s="206" customFormat="1" ht="15" customHeight="1" x14ac:dyDescent="0.2">
      <c r="A26" s="122" t="str">
        <f>IF(Contents!$A$1=2,"Other in Russia","Прочие регионы России")</f>
        <v>Прочие регионы России</v>
      </c>
      <c r="B26" s="278" t="str">
        <f>IF(Contents!$A$1=2,"th. boe per day","тыс. барр. н. э./сут")</f>
        <v>тыс. барр. н. э./сут</v>
      </c>
      <c r="C26" s="141"/>
      <c r="D26" s="418">
        <v>38</v>
      </c>
      <c r="E26" s="439"/>
      <c r="F26" s="439">
        <v>37</v>
      </c>
      <c r="G26" s="439">
        <v>37</v>
      </c>
      <c r="H26" s="439">
        <v>38</v>
      </c>
      <c r="I26" s="439">
        <v>37</v>
      </c>
      <c r="J26" s="439">
        <v>37</v>
      </c>
      <c r="K26" s="439"/>
      <c r="L26" s="439">
        <v>36</v>
      </c>
      <c r="M26" s="439">
        <v>36</v>
      </c>
      <c r="N26" s="439">
        <v>36</v>
      </c>
      <c r="O26" s="439">
        <v>35.027499944246088</v>
      </c>
      <c r="P26" s="439">
        <v>36</v>
      </c>
      <c r="Q26" s="439"/>
      <c r="R26" s="439">
        <v>34</v>
      </c>
      <c r="S26" s="439">
        <v>33</v>
      </c>
      <c r="T26" s="439">
        <v>33</v>
      </c>
      <c r="U26" s="439">
        <v>32</v>
      </c>
      <c r="V26" s="439">
        <v>33</v>
      </c>
      <c r="W26" s="439"/>
      <c r="X26" s="439">
        <v>31</v>
      </c>
      <c r="Y26" s="439">
        <v>31</v>
      </c>
      <c r="Z26" s="439">
        <v>31</v>
      </c>
      <c r="AA26" s="439">
        <v>31</v>
      </c>
      <c r="AB26" s="439">
        <v>32</v>
      </c>
      <c r="AC26" s="439"/>
      <c r="AD26" s="439">
        <v>31</v>
      </c>
      <c r="AE26" s="439">
        <v>31</v>
      </c>
      <c r="AF26" s="439">
        <v>31</v>
      </c>
      <c r="AG26" s="439">
        <v>31</v>
      </c>
      <c r="AH26" s="439">
        <v>32</v>
      </c>
      <c r="AI26" s="439"/>
      <c r="AJ26" s="439">
        <v>30</v>
      </c>
      <c r="AK26" s="439">
        <v>29</v>
      </c>
      <c r="AL26" s="439">
        <v>29</v>
      </c>
      <c r="AM26" s="439">
        <v>27</v>
      </c>
      <c r="AN26" s="439">
        <v>29</v>
      </c>
      <c r="AO26" s="439"/>
      <c r="AP26" s="439">
        <v>28</v>
      </c>
      <c r="AQ26" s="439">
        <v>28</v>
      </c>
      <c r="AR26" s="439">
        <v>28</v>
      </c>
      <c r="AS26" s="439">
        <v>27</v>
      </c>
      <c r="AT26" s="439">
        <v>28</v>
      </c>
    </row>
    <row r="27" spans="1:46" s="206" customFormat="1" ht="15" customHeight="1" x14ac:dyDescent="0.2">
      <c r="A27" s="121" t="str">
        <f>IF(Contents!$A$1=2,"Total outside Russia","Добыча за рубежом")</f>
        <v>Добыча за рубежом</v>
      </c>
      <c r="B27" s="278" t="str">
        <f>IF(Contents!$A$1=2,"th. boe per day","тыс. барр. н. э./сут")</f>
        <v>тыс. барр. н. э./сут</v>
      </c>
      <c r="C27" s="79"/>
      <c r="D27" s="418">
        <v>151</v>
      </c>
      <c r="E27" s="438"/>
      <c r="F27" s="418">
        <v>198</v>
      </c>
      <c r="G27" s="418">
        <v>218</v>
      </c>
      <c r="H27" s="418">
        <v>271</v>
      </c>
      <c r="I27" s="418">
        <v>278</v>
      </c>
      <c r="J27" s="418">
        <v>241</v>
      </c>
      <c r="K27" s="438"/>
      <c r="L27" s="418">
        <v>244</v>
      </c>
      <c r="M27" s="418">
        <v>106</v>
      </c>
      <c r="N27" s="418">
        <v>117</v>
      </c>
      <c r="O27" s="418">
        <v>94.058205056612564</v>
      </c>
      <c r="P27" s="491">
        <v>140</v>
      </c>
      <c r="Q27" s="426"/>
      <c r="R27" s="418">
        <v>78</v>
      </c>
      <c r="S27" s="418">
        <v>81</v>
      </c>
      <c r="T27" s="418">
        <v>81</v>
      </c>
      <c r="U27" s="418">
        <v>75</v>
      </c>
      <c r="V27" s="426">
        <v>79</v>
      </c>
      <c r="W27" s="426"/>
      <c r="X27" s="418">
        <v>84</v>
      </c>
      <c r="Y27" s="418">
        <v>70</v>
      </c>
      <c r="Z27" s="418">
        <v>80</v>
      </c>
      <c r="AA27" s="418">
        <v>69</v>
      </c>
      <c r="AB27" s="418">
        <v>75</v>
      </c>
      <c r="AC27" s="426"/>
      <c r="AD27" s="418">
        <v>76</v>
      </c>
      <c r="AE27" s="418">
        <v>77</v>
      </c>
      <c r="AF27" s="418">
        <v>82</v>
      </c>
      <c r="AG27" s="418">
        <v>92</v>
      </c>
      <c r="AH27" s="418">
        <v>82</v>
      </c>
      <c r="AI27" s="418"/>
      <c r="AJ27" s="418">
        <v>111</v>
      </c>
      <c r="AK27" s="418">
        <v>135</v>
      </c>
      <c r="AL27" s="418">
        <v>86</v>
      </c>
      <c r="AM27" s="418">
        <v>91</v>
      </c>
      <c r="AN27" s="418">
        <v>106</v>
      </c>
      <c r="AO27" s="418"/>
      <c r="AP27" s="418">
        <v>101</v>
      </c>
      <c r="AQ27" s="418">
        <v>81</v>
      </c>
      <c r="AR27" s="418">
        <v>60</v>
      </c>
      <c r="AS27" s="418">
        <v>90</v>
      </c>
      <c r="AT27" s="418">
        <v>83</v>
      </c>
    </row>
    <row r="28" spans="1:46" s="206" customFormat="1" ht="15" customHeight="1" x14ac:dyDescent="0.2">
      <c r="A28" s="122" t="str">
        <f>IF(Contents!$A$1=2,"Iraq","Ирак")</f>
        <v>Ирак</v>
      </c>
      <c r="B28" s="278" t="str">
        <f>IF(Contents!$A$1=2,"th. boe per day","тыс. барр. н. э./сут")</f>
        <v>тыс. барр. н. э./сут</v>
      </c>
      <c r="C28" s="141"/>
      <c r="D28" s="418">
        <v>114</v>
      </c>
      <c r="E28" s="439"/>
      <c r="F28" s="439">
        <v>157</v>
      </c>
      <c r="G28" s="439">
        <v>177</v>
      </c>
      <c r="H28" s="439">
        <v>235</v>
      </c>
      <c r="I28" s="439">
        <v>236</v>
      </c>
      <c r="J28" s="439">
        <v>201</v>
      </c>
      <c r="K28" s="439"/>
      <c r="L28" s="439">
        <v>196</v>
      </c>
      <c r="M28" s="439">
        <v>69</v>
      </c>
      <c r="N28" s="439">
        <v>72</v>
      </c>
      <c r="O28" s="439">
        <v>43.782608695652172</v>
      </c>
      <c r="P28" s="439">
        <v>95</v>
      </c>
      <c r="Q28" s="439"/>
      <c r="R28" s="439">
        <v>31</v>
      </c>
      <c r="S28" s="439">
        <v>36</v>
      </c>
      <c r="T28" s="439">
        <v>40</v>
      </c>
      <c r="U28" s="439">
        <v>29</v>
      </c>
      <c r="V28" s="439">
        <v>34</v>
      </c>
      <c r="W28" s="439"/>
      <c r="X28" s="439">
        <v>34</v>
      </c>
      <c r="Y28" s="439">
        <v>24</v>
      </c>
      <c r="Z28" s="439">
        <v>35</v>
      </c>
      <c r="AA28" s="439">
        <v>20</v>
      </c>
      <c r="AB28" s="439">
        <v>28</v>
      </c>
      <c r="AC28" s="439"/>
      <c r="AD28" s="439">
        <v>28</v>
      </c>
      <c r="AE28" s="439">
        <v>31</v>
      </c>
      <c r="AF28" s="439">
        <v>31</v>
      </c>
      <c r="AG28" s="439">
        <v>31</v>
      </c>
      <c r="AH28" s="439">
        <v>30</v>
      </c>
      <c r="AI28" s="439"/>
      <c r="AJ28" s="439">
        <v>54</v>
      </c>
      <c r="AK28" s="439">
        <v>82</v>
      </c>
      <c r="AL28" s="439">
        <v>42</v>
      </c>
      <c r="AM28" s="439">
        <v>34</v>
      </c>
      <c r="AN28" s="439">
        <v>53</v>
      </c>
      <c r="AO28" s="439"/>
      <c r="AP28" s="439">
        <v>46</v>
      </c>
      <c r="AQ28" s="439">
        <v>35</v>
      </c>
      <c r="AR28" s="439">
        <v>20</v>
      </c>
      <c r="AS28" s="439">
        <v>36</v>
      </c>
      <c r="AT28" s="439">
        <v>34</v>
      </c>
    </row>
    <row r="29" spans="1:46" s="206" customFormat="1" ht="15" customHeight="1" x14ac:dyDescent="0.2">
      <c r="A29" s="122" t="str">
        <f>IF(Contents!$A$1=2,"Other outside Russia","Прочие за рубежом")</f>
        <v>Прочие за рубежом</v>
      </c>
      <c r="B29" s="278" t="str">
        <f>IF(Contents!$A$1=2,"th. boe per day","тыс. барр. н. э./сут")</f>
        <v>тыс. барр. н. э./сут</v>
      </c>
      <c r="C29" s="141"/>
      <c r="D29" s="418">
        <v>37</v>
      </c>
      <c r="E29" s="439"/>
      <c r="F29" s="439">
        <v>41</v>
      </c>
      <c r="G29" s="439">
        <v>41</v>
      </c>
      <c r="H29" s="439">
        <v>36</v>
      </c>
      <c r="I29" s="439">
        <v>42</v>
      </c>
      <c r="J29" s="439">
        <v>40</v>
      </c>
      <c r="K29" s="439"/>
      <c r="L29" s="439">
        <v>48</v>
      </c>
      <c r="M29" s="439">
        <v>37</v>
      </c>
      <c r="N29" s="439">
        <v>45</v>
      </c>
      <c r="O29" s="439">
        <v>50.275596360960392</v>
      </c>
      <c r="P29" s="439">
        <v>45</v>
      </c>
      <c r="Q29" s="439"/>
      <c r="R29" s="439">
        <v>47</v>
      </c>
      <c r="S29" s="439">
        <v>45</v>
      </c>
      <c r="T29" s="439">
        <v>41</v>
      </c>
      <c r="U29" s="439">
        <v>46</v>
      </c>
      <c r="V29" s="439">
        <v>45</v>
      </c>
      <c r="W29" s="439"/>
      <c r="X29" s="439">
        <v>50</v>
      </c>
      <c r="Y29" s="439">
        <v>46</v>
      </c>
      <c r="Z29" s="439">
        <v>45</v>
      </c>
      <c r="AA29" s="439">
        <v>49</v>
      </c>
      <c r="AB29" s="439">
        <v>47</v>
      </c>
      <c r="AC29" s="439"/>
      <c r="AD29" s="439">
        <v>48</v>
      </c>
      <c r="AE29" s="439">
        <v>46</v>
      </c>
      <c r="AF29" s="439">
        <v>51</v>
      </c>
      <c r="AG29" s="439">
        <v>61</v>
      </c>
      <c r="AH29" s="439">
        <v>52</v>
      </c>
      <c r="AI29" s="439"/>
      <c r="AJ29" s="439">
        <v>57</v>
      </c>
      <c r="AK29" s="439">
        <v>53</v>
      </c>
      <c r="AL29" s="439">
        <v>44</v>
      </c>
      <c r="AM29" s="439">
        <v>57</v>
      </c>
      <c r="AN29" s="439">
        <v>53</v>
      </c>
      <c r="AO29" s="439"/>
      <c r="AP29" s="439">
        <v>55</v>
      </c>
      <c r="AQ29" s="439">
        <v>46</v>
      </c>
      <c r="AR29" s="439">
        <v>40</v>
      </c>
      <c r="AS29" s="439">
        <v>54</v>
      </c>
      <c r="AT29" s="439">
        <v>49</v>
      </c>
    </row>
    <row r="30" spans="1:46" s="206" customFormat="1" ht="15" customHeight="1" x14ac:dyDescent="0.2">
      <c r="A30" s="234" t="str">
        <f>IF(Contents!$A$1=2,"Total share in production of associates","Итого доля в добыче ассоциированных компаний")</f>
        <v>Итого доля в добыче ассоциированных компаний</v>
      </c>
      <c r="B30" s="282" t="str">
        <f>IF(Contents!$A$1=2,"th. boe per day","тыс. барр. н. э./сут")</f>
        <v>тыс. барр. н. э./сут</v>
      </c>
      <c r="C30" s="141"/>
      <c r="D30" s="490">
        <v>76</v>
      </c>
      <c r="E30" s="436"/>
      <c r="F30" s="435">
        <v>79</v>
      </c>
      <c r="G30" s="435">
        <v>75</v>
      </c>
      <c r="H30" s="435">
        <v>63</v>
      </c>
      <c r="I30" s="435">
        <v>56</v>
      </c>
      <c r="J30" s="435">
        <v>68</v>
      </c>
      <c r="K30" s="436"/>
      <c r="L30" s="435">
        <v>59</v>
      </c>
      <c r="M30" s="435">
        <v>59</v>
      </c>
      <c r="N30" s="435">
        <v>52</v>
      </c>
      <c r="O30" s="435">
        <v>60.843727312773197</v>
      </c>
      <c r="P30" s="433">
        <v>58</v>
      </c>
      <c r="Q30" s="434"/>
      <c r="R30" s="435">
        <v>61</v>
      </c>
      <c r="S30" s="435">
        <v>60</v>
      </c>
      <c r="T30" s="435">
        <v>52</v>
      </c>
      <c r="U30" s="435">
        <v>51</v>
      </c>
      <c r="V30" s="433">
        <v>56</v>
      </c>
      <c r="W30" s="434"/>
      <c r="X30" s="435">
        <v>52</v>
      </c>
      <c r="Y30" s="435">
        <v>50</v>
      </c>
      <c r="Z30" s="435">
        <v>47</v>
      </c>
      <c r="AA30" s="435">
        <v>49</v>
      </c>
      <c r="AB30" s="435">
        <v>50</v>
      </c>
      <c r="AC30" s="434"/>
      <c r="AD30" s="435">
        <v>51</v>
      </c>
      <c r="AE30" s="435">
        <v>50</v>
      </c>
      <c r="AF30" s="435">
        <v>48</v>
      </c>
      <c r="AG30" s="435">
        <v>51</v>
      </c>
      <c r="AH30" s="435">
        <v>50</v>
      </c>
      <c r="AI30" s="436"/>
      <c r="AJ30" s="435">
        <v>49</v>
      </c>
      <c r="AK30" s="435">
        <v>43</v>
      </c>
      <c r="AL30" s="435">
        <v>39</v>
      </c>
      <c r="AM30" s="435">
        <v>41</v>
      </c>
      <c r="AN30" s="435">
        <v>43</v>
      </c>
      <c r="AO30" s="436"/>
      <c r="AP30" s="435">
        <v>42</v>
      </c>
      <c r="AQ30" s="435">
        <v>42</v>
      </c>
      <c r="AR30" s="435">
        <v>32</v>
      </c>
      <c r="AS30" s="435">
        <v>43</v>
      </c>
      <c r="AT30" s="435">
        <v>39</v>
      </c>
    </row>
    <row r="31" spans="1:46" s="206" customFormat="1" ht="15" customHeight="1" x14ac:dyDescent="0.2">
      <c r="A31" s="123" t="str">
        <f>IF(Contents!$A$1=2,"in Russia","в России")</f>
        <v>в России</v>
      </c>
      <c r="B31" s="277" t="str">
        <f>IF(Contents!$A$1=2,"th. boe per day","тыс. барр. н. э./сут")</f>
        <v>тыс. барр. н. э./сут</v>
      </c>
      <c r="C31" s="79"/>
      <c r="D31" s="470">
        <v>11</v>
      </c>
      <c r="E31" s="438"/>
      <c r="F31" s="438">
        <v>15</v>
      </c>
      <c r="G31" s="438">
        <v>15</v>
      </c>
      <c r="H31" s="438">
        <v>16</v>
      </c>
      <c r="I31" s="438">
        <v>18</v>
      </c>
      <c r="J31" s="438">
        <v>16</v>
      </c>
      <c r="K31" s="438"/>
      <c r="L31" s="438">
        <v>19</v>
      </c>
      <c r="M31" s="438">
        <v>21</v>
      </c>
      <c r="N31" s="438">
        <v>21</v>
      </c>
      <c r="O31" s="438">
        <v>21.793515786667818</v>
      </c>
      <c r="P31" s="438">
        <v>21</v>
      </c>
      <c r="Q31" s="438"/>
      <c r="R31" s="438">
        <v>22</v>
      </c>
      <c r="S31" s="438">
        <v>22</v>
      </c>
      <c r="T31" s="438">
        <v>17</v>
      </c>
      <c r="U31" s="438">
        <v>14</v>
      </c>
      <c r="V31" s="438">
        <v>19</v>
      </c>
      <c r="W31" s="438"/>
      <c r="X31" s="438">
        <v>14</v>
      </c>
      <c r="Y31" s="438">
        <v>13</v>
      </c>
      <c r="Z31" s="438">
        <v>13</v>
      </c>
      <c r="AA31" s="438">
        <v>13</v>
      </c>
      <c r="AB31" s="438">
        <v>13</v>
      </c>
      <c r="AC31" s="438"/>
      <c r="AD31" s="438">
        <v>13</v>
      </c>
      <c r="AE31" s="438">
        <v>13</v>
      </c>
      <c r="AF31" s="438">
        <v>13</v>
      </c>
      <c r="AG31" s="438">
        <v>13</v>
      </c>
      <c r="AH31" s="438">
        <v>13</v>
      </c>
      <c r="AI31" s="438"/>
      <c r="AJ31" s="438">
        <v>11</v>
      </c>
      <c r="AK31" s="438">
        <v>10</v>
      </c>
      <c r="AL31" s="438">
        <v>10</v>
      </c>
      <c r="AM31" s="438">
        <v>11</v>
      </c>
      <c r="AN31" s="438">
        <v>11</v>
      </c>
      <c r="AO31" s="438"/>
      <c r="AP31" s="438">
        <v>12</v>
      </c>
      <c r="AQ31" s="438">
        <v>12</v>
      </c>
      <c r="AR31" s="438">
        <v>9</v>
      </c>
      <c r="AS31" s="438">
        <v>10</v>
      </c>
      <c r="AT31" s="438">
        <v>10</v>
      </c>
    </row>
    <row r="32" spans="1:46" s="206" customFormat="1" ht="15" customHeight="1" x14ac:dyDescent="0.2">
      <c r="A32" s="122" t="str">
        <f>IF(Contents!$A$1=2,"outside Russia","за рубежом")</f>
        <v>за рубежом</v>
      </c>
      <c r="B32" s="278" t="str">
        <f>IF(Contents!$A$1=2,"th. boe per day","тыс. барр. н. э./сут")</f>
        <v>тыс. барр. н. э./сут</v>
      </c>
      <c r="C32" s="141"/>
      <c r="D32" s="418">
        <v>65</v>
      </c>
      <c r="E32" s="439"/>
      <c r="F32" s="439">
        <v>64</v>
      </c>
      <c r="G32" s="439">
        <v>60</v>
      </c>
      <c r="H32" s="439">
        <v>47</v>
      </c>
      <c r="I32" s="439">
        <v>38</v>
      </c>
      <c r="J32" s="439">
        <v>52</v>
      </c>
      <c r="K32" s="439"/>
      <c r="L32" s="439">
        <v>40</v>
      </c>
      <c r="M32" s="439">
        <v>38</v>
      </c>
      <c r="N32" s="439">
        <v>31</v>
      </c>
      <c r="O32" s="439">
        <v>39.050211526105343</v>
      </c>
      <c r="P32" s="439">
        <v>37</v>
      </c>
      <c r="Q32" s="439"/>
      <c r="R32" s="439">
        <v>39</v>
      </c>
      <c r="S32" s="439">
        <v>38</v>
      </c>
      <c r="T32" s="439">
        <v>35</v>
      </c>
      <c r="U32" s="439">
        <v>37</v>
      </c>
      <c r="V32" s="439">
        <v>37</v>
      </c>
      <c r="W32" s="439"/>
      <c r="X32" s="439">
        <v>38</v>
      </c>
      <c r="Y32" s="439">
        <v>37</v>
      </c>
      <c r="Z32" s="439">
        <v>34</v>
      </c>
      <c r="AA32" s="439">
        <v>36</v>
      </c>
      <c r="AB32" s="439">
        <v>37</v>
      </c>
      <c r="AC32" s="439"/>
      <c r="AD32" s="439">
        <v>38</v>
      </c>
      <c r="AE32" s="439">
        <v>37</v>
      </c>
      <c r="AF32" s="439">
        <v>35</v>
      </c>
      <c r="AG32" s="439">
        <v>38</v>
      </c>
      <c r="AH32" s="439">
        <v>37</v>
      </c>
      <c r="AI32" s="439"/>
      <c r="AJ32" s="439">
        <v>38</v>
      </c>
      <c r="AK32" s="439">
        <v>33</v>
      </c>
      <c r="AL32" s="439">
        <v>29</v>
      </c>
      <c r="AM32" s="439">
        <v>30</v>
      </c>
      <c r="AN32" s="439">
        <v>32</v>
      </c>
      <c r="AO32" s="439"/>
      <c r="AP32" s="439">
        <v>30</v>
      </c>
      <c r="AQ32" s="439">
        <v>30</v>
      </c>
      <c r="AR32" s="439">
        <v>23</v>
      </c>
      <c r="AS32" s="439">
        <v>33</v>
      </c>
      <c r="AT32" s="439">
        <v>29</v>
      </c>
    </row>
    <row r="33" spans="1:47" s="206" customFormat="1" ht="15" customHeight="1" x14ac:dyDescent="0.2">
      <c r="A33" s="122"/>
      <c r="B33" s="278"/>
      <c r="C33" s="141"/>
      <c r="D33" s="152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  <row r="34" spans="1:47" s="206" customFormat="1" ht="15" customHeight="1" x14ac:dyDescent="0.2">
      <c r="A34" s="122"/>
      <c r="B34" s="278"/>
      <c r="C34" s="141"/>
      <c r="D34" s="152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</row>
    <row r="35" spans="1:47" s="1" customFormat="1" ht="15" customHeight="1" x14ac:dyDescent="0.2">
      <c r="A35" s="75"/>
      <c r="B35" s="134"/>
      <c r="C35" s="16"/>
      <c r="D35" s="329">
        <v>2014</v>
      </c>
      <c r="E35" s="330"/>
      <c r="F35" s="325" t="str">
        <f>IF(Contents!$A$1=2,"1Q","1 кв")</f>
        <v>1 кв</v>
      </c>
      <c r="G35" s="325" t="str">
        <f>IF(Contents!$A$1=2,"2Q","2 кв")</f>
        <v>2 кв</v>
      </c>
      <c r="H35" s="325" t="str">
        <f>IF(Contents!$A$1=2,"3Q","3 кв")</f>
        <v>3 кв</v>
      </c>
      <c r="I35" s="325" t="str">
        <f>IF(Contents!$A$1=2,"4Q","4 кв")</f>
        <v>4 кв</v>
      </c>
      <c r="J35" s="329">
        <v>2015</v>
      </c>
      <c r="K35" s="330"/>
      <c r="L35" s="325" t="str">
        <f>IF(Contents!$A$1=2,"1Q","1 кв")</f>
        <v>1 кв</v>
      </c>
      <c r="M35" s="325" t="str">
        <f>IF(Contents!$A$1=2,"2Q","2 кв")</f>
        <v>2 кв</v>
      </c>
      <c r="N35" s="325" t="str">
        <f>IF(Contents!$A$1=2,"3Q","3 кв")</f>
        <v>3 кв</v>
      </c>
      <c r="O35" s="325" t="str">
        <f>IF(Contents!$A$1=2,"4Q","4 кв")</f>
        <v>4 кв</v>
      </c>
      <c r="P35" s="329">
        <v>2016</v>
      </c>
      <c r="Q35" s="330"/>
      <c r="R35" s="325" t="str">
        <f>IF(Contents!$A$1=2,"1Q","1 кв")</f>
        <v>1 кв</v>
      </c>
      <c r="S35" s="325" t="str">
        <f>IF(Contents!$A$1=2,"2Q","2 кв")</f>
        <v>2 кв</v>
      </c>
      <c r="T35" s="325" t="str">
        <f>IF(Contents!$A$1=2,"3Q","3 кв")</f>
        <v>3 кв</v>
      </c>
      <c r="U35" s="325" t="str">
        <f>IF(Contents!$A$1=2,"4Q","4 кв")</f>
        <v>4 кв</v>
      </c>
      <c r="V35" s="317">
        <v>2017</v>
      </c>
      <c r="W35" s="324"/>
      <c r="X35" s="325" t="str">
        <f>IF(Contents!$A$1=2,"1Q","1 кв")</f>
        <v>1 кв</v>
      </c>
      <c r="Y35" s="325" t="str">
        <f>IF(Contents!$A$1=2,"2Q","2 кв")</f>
        <v>2 кв</v>
      </c>
      <c r="Z35" s="325" t="str">
        <f>IF(Contents!$A$1=2,"3Q","3 кв")</f>
        <v>3 кв</v>
      </c>
      <c r="AA35" s="325" t="str">
        <f>IF(Contents!$A$1=2,"4Q","4 кв")</f>
        <v>4 кв</v>
      </c>
      <c r="AB35" s="317">
        <v>2018</v>
      </c>
      <c r="AC35" s="324"/>
      <c r="AD35" s="325" t="str">
        <f>IF(Contents!$A$1=2,"1Q","1 кв")</f>
        <v>1 кв</v>
      </c>
      <c r="AE35" s="325" t="str">
        <f>IF(Contents!$A$1=2,"2Q","2 кв")</f>
        <v>2 кв</v>
      </c>
      <c r="AF35" s="325" t="str">
        <f>IF(Contents!$A$1=2,"3Q","3 кв")</f>
        <v>3 кв</v>
      </c>
      <c r="AG35" s="325" t="str">
        <f>IF(Contents!$A$1=2,"4Q","4 кв")</f>
        <v>4 кв</v>
      </c>
      <c r="AH35" s="317">
        <v>2019</v>
      </c>
      <c r="AI35" s="324"/>
      <c r="AJ35" s="325" t="str">
        <f>IF(Contents!$A$1=2,"1Q","1 кв")</f>
        <v>1 кв</v>
      </c>
      <c r="AK35" s="325" t="str">
        <f>IF(Contents!$A$1=2,"2Q","2 кв")</f>
        <v>2 кв</v>
      </c>
      <c r="AL35" s="325" t="str">
        <f>IF(Contents!$A$1=2,"3Q","3 кв")</f>
        <v>3 кв</v>
      </c>
      <c r="AM35" s="325" t="str">
        <f>IF(Contents!$A$1=2,"4Q","4 кв")</f>
        <v>4 кв</v>
      </c>
      <c r="AN35" s="317">
        <v>2020</v>
      </c>
      <c r="AO35" s="324"/>
      <c r="AP35" s="325" t="str">
        <f>IF(Contents!$A$1=2,"1Q","1 кв")</f>
        <v>1 кв</v>
      </c>
      <c r="AQ35" s="325" t="str">
        <f>IF(Contents!$A$1=2,"2Q","2 кв")</f>
        <v>2 кв</v>
      </c>
      <c r="AR35" s="325" t="str">
        <f>IF(Contents!$A$1=2,"3Q","3 кв")</f>
        <v>3 кв</v>
      </c>
      <c r="AS35" s="325" t="str">
        <f>IF(Contents!$A$1=2,"4Q","4 кв")</f>
        <v>4 кв</v>
      </c>
      <c r="AT35" s="317">
        <v>2021</v>
      </c>
      <c r="AU35" s="222"/>
    </row>
    <row r="36" spans="1:47" s="16" customFormat="1" ht="15" customHeight="1" x14ac:dyDescent="0.2">
      <c r="A36" s="143" t="str">
        <f>IF(Contents!$A$1=2,"Total crude oil produced","Итого добыча нефти")</f>
        <v>Итого добыча нефти</v>
      </c>
      <c r="B36" s="279" t="str">
        <f>IF(Contents!$A$1=2,"th. t","тыс. т")</f>
        <v>тыс. т</v>
      </c>
      <c r="D36" s="492">
        <v>97208</v>
      </c>
      <c r="E36" s="493"/>
      <c r="F36" s="494">
        <v>24609</v>
      </c>
      <c r="G36" s="494">
        <v>25029</v>
      </c>
      <c r="H36" s="494">
        <v>25637</v>
      </c>
      <c r="I36" s="494">
        <v>25413</v>
      </c>
      <c r="J36" s="494">
        <v>100688</v>
      </c>
      <c r="K36" s="493"/>
      <c r="L36" s="494">
        <v>24495</v>
      </c>
      <c r="M36" s="494">
        <v>22279</v>
      </c>
      <c r="N36" s="494">
        <v>22527</v>
      </c>
      <c r="O36" s="494">
        <v>22691</v>
      </c>
      <c r="P36" s="495">
        <v>91992</v>
      </c>
      <c r="Q36" s="496"/>
      <c r="R36" s="494">
        <v>21802</v>
      </c>
      <c r="S36" s="494">
        <v>21788</v>
      </c>
      <c r="T36" s="494">
        <v>21951</v>
      </c>
      <c r="U36" s="494">
        <v>21873</v>
      </c>
      <c r="V36" s="494">
        <v>87414</v>
      </c>
      <c r="W36" s="493"/>
      <c r="X36" s="494">
        <v>21377</v>
      </c>
      <c r="Y36" s="494">
        <v>21453</v>
      </c>
      <c r="Z36" s="494">
        <v>22186</v>
      </c>
      <c r="AA36" s="494">
        <v>22108</v>
      </c>
      <c r="AB36" s="494">
        <v>87124</v>
      </c>
      <c r="AC36" s="493"/>
      <c r="AD36" s="494">
        <v>21610</v>
      </c>
      <c r="AE36" s="494">
        <v>21763</v>
      </c>
      <c r="AF36" s="494">
        <v>22057</v>
      </c>
      <c r="AG36" s="494">
        <v>22058</v>
      </c>
      <c r="AH36" s="494">
        <v>87488</v>
      </c>
      <c r="AI36" s="493"/>
      <c r="AJ36" s="494">
        <v>22105</v>
      </c>
      <c r="AK36" s="494">
        <v>19911</v>
      </c>
      <c r="AL36" s="494">
        <v>18815</v>
      </c>
      <c r="AM36" s="494">
        <v>19218</v>
      </c>
      <c r="AN36" s="494">
        <v>80049</v>
      </c>
      <c r="AO36" s="493"/>
      <c r="AP36" s="494">
        <v>19389</v>
      </c>
      <c r="AQ36" s="494">
        <v>19928</v>
      </c>
      <c r="AR36" s="494">
        <v>20274</v>
      </c>
      <c r="AS36" s="494">
        <v>21550</v>
      </c>
      <c r="AT36" s="494">
        <v>81141</v>
      </c>
    </row>
    <row r="37" spans="1:47" s="16" customFormat="1" ht="15" customHeight="1" x14ac:dyDescent="0.2">
      <c r="A37" s="234" t="str">
        <f>IF(Contents!$A$1=2,"Total crude oil produced by consolidated subsidiaries","Итого добыча дочерними предприятиями Группы")</f>
        <v>Итого добыча дочерними предприятиями Группы</v>
      </c>
      <c r="B37" s="279" t="str">
        <f>IF(Contents!$A$1=2,"th. t","тыс. т")</f>
        <v>тыс. т</v>
      </c>
      <c r="D37" s="492">
        <v>93609</v>
      </c>
      <c r="E37" s="493"/>
      <c r="F37" s="494">
        <v>23693</v>
      </c>
      <c r="G37" s="494">
        <v>24130</v>
      </c>
      <c r="H37" s="494">
        <v>24893</v>
      </c>
      <c r="I37" s="494">
        <v>24762</v>
      </c>
      <c r="J37" s="494">
        <v>97478</v>
      </c>
      <c r="K37" s="493"/>
      <c r="L37" s="494">
        <v>23812</v>
      </c>
      <c r="M37" s="494">
        <v>21601</v>
      </c>
      <c r="N37" s="494">
        <v>21914</v>
      </c>
      <c r="O37" s="494">
        <v>21980</v>
      </c>
      <c r="P37" s="495">
        <v>89307</v>
      </c>
      <c r="Q37" s="496"/>
      <c r="R37" s="494">
        <v>21100</v>
      </c>
      <c r="S37" s="494">
        <v>21098</v>
      </c>
      <c r="T37" s="494">
        <v>21340</v>
      </c>
      <c r="U37" s="494">
        <v>21282</v>
      </c>
      <c r="V37" s="494">
        <v>84820</v>
      </c>
      <c r="W37" s="493"/>
      <c r="X37" s="494">
        <v>20788</v>
      </c>
      <c r="Y37" s="494">
        <v>20871</v>
      </c>
      <c r="Z37" s="494">
        <v>21632</v>
      </c>
      <c r="AA37" s="494">
        <v>21536</v>
      </c>
      <c r="AB37" s="494">
        <v>84827</v>
      </c>
      <c r="AC37" s="493"/>
      <c r="AD37" s="494">
        <v>21026</v>
      </c>
      <c r="AE37" s="494">
        <v>21190</v>
      </c>
      <c r="AF37" s="494">
        <v>21503</v>
      </c>
      <c r="AG37" s="494">
        <v>21465</v>
      </c>
      <c r="AH37" s="494">
        <v>85184</v>
      </c>
      <c r="AI37" s="493"/>
      <c r="AJ37" s="494">
        <v>21536</v>
      </c>
      <c r="AK37" s="494">
        <v>19419</v>
      </c>
      <c r="AL37" s="494">
        <v>18353</v>
      </c>
      <c r="AM37" s="494">
        <v>18731</v>
      </c>
      <c r="AN37" s="494">
        <v>78039</v>
      </c>
      <c r="AO37" s="493"/>
      <c r="AP37" s="494">
        <v>18916</v>
      </c>
      <c r="AQ37" s="494">
        <v>19445</v>
      </c>
      <c r="AR37" s="494">
        <v>19901</v>
      </c>
      <c r="AS37" s="494">
        <v>21048</v>
      </c>
      <c r="AT37" s="494">
        <v>79310</v>
      </c>
    </row>
    <row r="38" spans="1:47" s="16" customFormat="1" ht="15" customHeight="1" x14ac:dyDescent="0.2">
      <c r="A38" s="121" t="str">
        <f>IF(Contents!$A$1=2,"Crude oil produced in Russia","Добыча в России ")</f>
        <v xml:space="preserve">Добыча в России </v>
      </c>
      <c r="B38" s="280" t="str">
        <f>IF(Contents!$A$1=2,"th. t","тыс. т")</f>
        <v>тыс. т</v>
      </c>
      <c r="C38" s="79"/>
      <c r="D38" s="497">
        <v>85809</v>
      </c>
      <c r="E38" s="497"/>
      <c r="F38" s="497">
        <v>21156</v>
      </c>
      <c r="G38" s="497">
        <v>21305</v>
      </c>
      <c r="H38" s="497">
        <v>21313</v>
      </c>
      <c r="I38" s="497">
        <v>21092</v>
      </c>
      <c r="J38" s="497">
        <v>84866</v>
      </c>
      <c r="K38" s="497"/>
      <c r="L38" s="497">
        <v>20650</v>
      </c>
      <c r="M38" s="497">
        <v>20253</v>
      </c>
      <c r="N38" s="497">
        <v>20414</v>
      </c>
      <c r="O38" s="497">
        <v>20889</v>
      </c>
      <c r="P38" s="497">
        <v>82206</v>
      </c>
      <c r="Q38" s="497"/>
      <c r="R38" s="497">
        <v>20178</v>
      </c>
      <c r="S38" s="497">
        <v>20120</v>
      </c>
      <c r="T38" s="497">
        <v>20337</v>
      </c>
      <c r="U38" s="497">
        <v>20360</v>
      </c>
      <c r="V38" s="497">
        <v>80995</v>
      </c>
      <c r="W38" s="497"/>
      <c r="X38" s="497">
        <v>19847</v>
      </c>
      <c r="Y38" s="497">
        <v>20096</v>
      </c>
      <c r="Z38" s="497">
        <v>20706</v>
      </c>
      <c r="AA38" s="497">
        <v>20763</v>
      </c>
      <c r="AB38" s="497">
        <v>81412</v>
      </c>
      <c r="AC38" s="497"/>
      <c r="AD38" s="497">
        <v>20177</v>
      </c>
      <c r="AE38" s="497">
        <v>20304</v>
      </c>
      <c r="AF38" s="497">
        <v>20552</v>
      </c>
      <c r="AG38" s="497">
        <v>20425</v>
      </c>
      <c r="AH38" s="497">
        <v>81458</v>
      </c>
      <c r="AI38" s="497"/>
      <c r="AJ38" s="497">
        <v>20227</v>
      </c>
      <c r="AK38" s="497">
        <v>17758</v>
      </c>
      <c r="AL38" s="497">
        <v>17292</v>
      </c>
      <c r="AM38" s="497">
        <v>17663</v>
      </c>
      <c r="AN38" s="497">
        <v>72940</v>
      </c>
      <c r="AO38" s="497"/>
      <c r="AP38" s="497">
        <v>17746</v>
      </c>
      <c r="AQ38" s="497">
        <v>18484</v>
      </c>
      <c r="AR38" s="497">
        <v>19200</v>
      </c>
      <c r="AS38" s="497">
        <v>20000</v>
      </c>
      <c r="AT38" s="497">
        <v>75430</v>
      </c>
    </row>
    <row r="39" spans="1:47" s="1" customFormat="1" ht="15" customHeight="1" x14ac:dyDescent="0.2">
      <c r="A39" s="96" t="str">
        <f>IF(Contents!$A$1=2,"West Siberia","Западная Сибирь")</f>
        <v>Западная Сибирь</v>
      </c>
      <c r="B39" s="283" t="str">
        <f>IF(Contents!$A$1=2,"th. t","тыс. т")</f>
        <v>тыс. т</v>
      </c>
      <c r="D39" s="498">
        <v>46840</v>
      </c>
      <c r="E39" s="498"/>
      <c r="F39" s="498">
        <v>11273</v>
      </c>
      <c r="G39" s="498">
        <v>11129</v>
      </c>
      <c r="H39" s="498">
        <v>11026</v>
      </c>
      <c r="I39" s="498">
        <v>10777</v>
      </c>
      <c r="J39" s="498">
        <v>44205</v>
      </c>
      <c r="K39" s="498"/>
      <c r="L39" s="498">
        <v>10437</v>
      </c>
      <c r="M39" s="498">
        <v>10192</v>
      </c>
      <c r="N39" s="498">
        <v>10164</v>
      </c>
      <c r="O39" s="498">
        <v>10244</v>
      </c>
      <c r="P39" s="498">
        <v>41037</v>
      </c>
      <c r="Q39" s="498"/>
      <c r="R39" s="498">
        <v>9810</v>
      </c>
      <c r="S39" s="498">
        <v>9750</v>
      </c>
      <c r="T39" s="498">
        <v>9702</v>
      </c>
      <c r="U39" s="498">
        <v>9517</v>
      </c>
      <c r="V39" s="498">
        <v>38779</v>
      </c>
      <c r="W39" s="498"/>
      <c r="X39" s="498">
        <v>9203</v>
      </c>
      <c r="Y39" s="498">
        <v>9270</v>
      </c>
      <c r="Z39" s="498">
        <v>9552</v>
      </c>
      <c r="AA39" s="498">
        <v>9446</v>
      </c>
      <c r="AB39" s="498">
        <v>37471</v>
      </c>
      <c r="AC39" s="498"/>
      <c r="AD39" s="498">
        <v>9159</v>
      </c>
      <c r="AE39" s="498">
        <v>9213</v>
      </c>
      <c r="AF39" s="498">
        <v>9366</v>
      </c>
      <c r="AG39" s="498">
        <v>9261</v>
      </c>
      <c r="AH39" s="498">
        <v>36999</v>
      </c>
      <c r="AI39" s="498"/>
      <c r="AJ39" s="498">
        <v>9151</v>
      </c>
      <c r="AK39" s="498">
        <v>7937</v>
      </c>
      <c r="AL39" s="498">
        <v>7558</v>
      </c>
      <c r="AM39" s="498">
        <v>7802</v>
      </c>
      <c r="AN39" s="498">
        <v>32448</v>
      </c>
      <c r="AO39" s="498"/>
      <c r="AP39" s="498">
        <v>7866</v>
      </c>
      <c r="AQ39" s="498">
        <v>8333</v>
      </c>
      <c r="AR39" s="498">
        <v>8658</v>
      </c>
      <c r="AS39" s="498">
        <v>9301</v>
      </c>
      <c r="AT39" s="498">
        <v>34158</v>
      </c>
    </row>
    <row r="40" spans="1:47" s="1" customFormat="1" ht="15" customHeight="1" x14ac:dyDescent="0.2">
      <c r="A40" s="122" t="str">
        <f>IF(Contents!$A$1=2,"Timan-Pechora","Тимано-Печора")</f>
        <v>Тимано-Печора</v>
      </c>
      <c r="B40" s="280" t="str">
        <f>IF(Contents!$A$1=2,"th. t","тыс. т")</f>
        <v>тыс. т</v>
      </c>
      <c r="C40" s="16"/>
      <c r="D40" s="497">
        <v>15814</v>
      </c>
      <c r="E40" s="416"/>
      <c r="F40" s="416">
        <v>4050</v>
      </c>
      <c r="G40" s="416">
        <v>4266</v>
      </c>
      <c r="H40" s="416">
        <v>4333</v>
      </c>
      <c r="I40" s="416">
        <v>4327</v>
      </c>
      <c r="J40" s="416">
        <v>16976</v>
      </c>
      <c r="K40" s="416"/>
      <c r="L40" s="416">
        <v>4354</v>
      </c>
      <c r="M40" s="416">
        <v>4290</v>
      </c>
      <c r="N40" s="416">
        <v>4312</v>
      </c>
      <c r="O40" s="416">
        <v>4194</v>
      </c>
      <c r="P40" s="416">
        <v>17150</v>
      </c>
      <c r="Q40" s="416"/>
      <c r="R40" s="416">
        <v>4002</v>
      </c>
      <c r="S40" s="416">
        <v>3819</v>
      </c>
      <c r="T40" s="416">
        <v>3983</v>
      </c>
      <c r="U40" s="416">
        <v>4033</v>
      </c>
      <c r="V40" s="416">
        <v>15837</v>
      </c>
      <c r="W40" s="416"/>
      <c r="X40" s="416">
        <v>3966</v>
      </c>
      <c r="Y40" s="416">
        <v>3976</v>
      </c>
      <c r="Z40" s="416">
        <v>4063</v>
      </c>
      <c r="AA40" s="416">
        <v>4119</v>
      </c>
      <c r="AB40" s="416">
        <v>16124</v>
      </c>
      <c r="AC40" s="416"/>
      <c r="AD40" s="416">
        <v>3988</v>
      </c>
      <c r="AE40" s="416">
        <v>4018</v>
      </c>
      <c r="AF40" s="416">
        <v>4088</v>
      </c>
      <c r="AG40" s="416">
        <v>4005</v>
      </c>
      <c r="AH40" s="416">
        <v>16099</v>
      </c>
      <c r="AI40" s="416"/>
      <c r="AJ40" s="416">
        <v>4022.9999999999995</v>
      </c>
      <c r="AK40" s="416">
        <v>3469</v>
      </c>
      <c r="AL40" s="416">
        <v>3275</v>
      </c>
      <c r="AM40" s="416">
        <v>3335</v>
      </c>
      <c r="AN40" s="416">
        <v>14102</v>
      </c>
      <c r="AO40" s="416"/>
      <c r="AP40" s="416">
        <v>3352</v>
      </c>
      <c r="AQ40" s="416">
        <v>3530</v>
      </c>
      <c r="AR40" s="416">
        <v>3673</v>
      </c>
      <c r="AS40" s="416">
        <v>3732</v>
      </c>
      <c r="AT40" s="416">
        <v>14287</v>
      </c>
    </row>
    <row r="41" spans="1:47" s="1" customFormat="1" ht="15" customHeight="1" x14ac:dyDescent="0.2">
      <c r="A41" s="122" t="str">
        <f>IF(Contents!$A$1=2,"Ural region","Урал")</f>
        <v>Урал</v>
      </c>
      <c r="B41" s="280" t="str">
        <f>IF(Contents!$A$1=2,"th. t","тыс. т")</f>
        <v>тыс. т</v>
      </c>
      <c r="C41" s="16"/>
      <c r="D41" s="497">
        <v>14585</v>
      </c>
      <c r="E41" s="416"/>
      <c r="F41" s="416">
        <v>3694</v>
      </c>
      <c r="G41" s="416">
        <v>3731</v>
      </c>
      <c r="H41" s="416">
        <v>3790</v>
      </c>
      <c r="I41" s="416">
        <v>3805</v>
      </c>
      <c r="J41" s="416">
        <v>15020</v>
      </c>
      <c r="K41" s="416"/>
      <c r="L41" s="416">
        <v>3774</v>
      </c>
      <c r="M41" s="416">
        <v>3774</v>
      </c>
      <c r="N41" s="416">
        <v>3839</v>
      </c>
      <c r="O41" s="416">
        <v>3861</v>
      </c>
      <c r="P41" s="416">
        <v>15248</v>
      </c>
      <c r="Q41" s="416"/>
      <c r="R41" s="416">
        <v>3755</v>
      </c>
      <c r="S41" s="416">
        <v>3767</v>
      </c>
      <c r="T41" s="416">
        <v>3794</v>
      </c>
      <c r="U41" s="416">
        <v>3823</v>
      </c>
      <c r="V41" s="416">
        <v>15139</v>
      </c>
      <c r="W41" s="416"/>
      <c r="X41" s="416">
        <v>3725</v>
      </c>
      <c r="Y41" s="416">
        <v>3772</v>
      </c>
      <c r="Z41" s="416">
        <v>3862</v>
      </c>
      <c r="AA41" s="416">
        <v>3892</v>
      </c>
      <c r="AB41" s="416">
        <v>15251</v>
      </c>
      <c r="AC41" s="416"/>
      <c r="AD41" s="416">
        <v>3820</v>
      </c>
      <c r="AE41" s="416">
        <v>3845</v>
      </c>
      <c r="AF41" s="416">
        <v>3933</v>
      </c>
      <c r="AG41" s="416">
        <v>3929</v>
      </c>
      <c r="AH41" s="416">
        <v>15527</v>
      </c>
      <c r="AI41" s="416"/>
      <c r="AJ41" s="416">
        <v>3906</v>
      </c>
      <c r="AK41" s="416">
        <v>3441</v>
      </c>
      <c r="AL41" s="416">
        <v>3554</v>
      </c>
      <c r="AM41" s="416">
        <v>3664</v>
      </c>
      <c r="AN41" s="416">
        <v>14565</v>
      </c>
      <c r="AO41" s="416"/>
      <c r="AP41" s="416">
        <v>3578</v>
      </c>
      <c r="AQ41" s="416">
        <v>3653</v>
      </c>
      <c r="AR41" s="416">
        <v>3825</v>
      </c>
      <c r="AS41" s="416">
        <v>4038</v>
      </c>
      <c r="AT41" s="416">
        <v>15094</v>
      </c>
    </row>
    <row r="42" spans="1:47" s="1" customFormat="1" ht="15" customHeight="1" x14ac:dyDescent="0.2">
      <c r="A42" s="123" t="str">
        <f>IF(Contents!$A$1=2,"Volga region","Поволжье")</f>
        <v>Поволжье</v>
      </c>
      <c r="B42" s="281" t="str">
        <f>IF(Contents!$A$1=2,"th. t","тыс. т")</f>
        <v>тыс. т</v>
      </c>
      <c r="C42" s="79"/>
      <c r="D42" s="499">
        <v>6659</v>
      </c>
      <c r="E42" s="500"/>
      <c r="F42" s="500">
        <v>1680</v>
      </c>
      <c r="G42" s="500">
        <v>1703</v>
      </c>
      <c r="H42" s="500">
        <v>1674</v>
      </c>
      <c r="I42" s="500">
        <v>1704</v>
      </c>
      <c r="J42" s="500">
        <v>6761</v>
      </c>
      <c r="K42" s="500"/>
      <c r="L42" s="500">
        <v>1628</v>
      </c>
      <c r="M42" s="500">
        <v>1532</v>
      </c>
      <c r="N42" s="500">
        <v>1635</v>
      </c>
      <c r="O42" s="500">
        <v>2144</v>
      </c>
      <c r="P42" s="500">
        <v>6939</v>
      </c>
      <c r="Q42" s="500"/>
      <c r="R42" s="500">
        <v>2189</v>
      </c>
      <c r="S42" s="500">
        <v>2363</v>
      </c>
      <c r="T42" s="500">
        <v>2431</v>
      </c>
      <c r="U42" s="500">
        <v>2571</v>
      </c>
      <c r="V42" s="500">
        <v>9554</v>
      </c>
      <c r="W42" s="500"/>
      <c r="X42" s="500">
        <v>2556</v>
      </c>
      <c r="Y42" s="500">
        <v>2681</v>
      </c>
      <c r="Z42" s="500">
        <v>2829</v>
      </c>
      <c r="AA42" s="500">
        <v>2903</v>
      </c>
      <c r="AB42" s="500">
        <v>10969</v>
      </c>
      <c r="AC42" s="500"/>
      <c r="AD42" s="500">
        <v>2822</v>
      </c>
      <c r="AE42" s="500">
        <v>2818</v>
      </c>
      <c r="AF42" s="500">
        <v>2737</v>
      </c>
      <c r="AG42" s="500">
        <v>2830</v>
      </c>
      <c r="AH42" s="500">
        <v>11207</v>
      </c>
      <c r="AI42" s="500"/>
      <c r="AJ42" s="500">
        <v>2760</v>
      </c>
      <c r="AK42" s="500">
        <v>2539</v>
      </c>
      <c r="AL42" s="500">
        <v>2531</v>
      </c>
      <c r="AM42" s="500">
        <v>2509</v>
      </c>
      <c r="AN42" s="500">
        <v>10339</v>
      </c>
      <c r="AO42" s="500"/>
      <c r="AP42" s="500">
        <v>2593</v>
      </c>
      <c r="AQ42" s="500">
        <v>2610</v>
      </c>
      <c r="AR42" s="500">
        <v>2686</v>
      </c>
      <c r="AS42" s="500">
        <v>2578</v>
      </c>
      <c r="AT42" s="500">
        <v>10467</v>
      </c>
    </row>
    <row r="43" spans="1:47" s="1" customFormat="1" ht="15" customHeight="1" x14ac:dyDescent="0.2">
      <c r="A43" s="122" t="str">
        <f>IF(Contents!$A$1=2,"Other in Russia ","Прочие регионы России")</f>
        <v>Прочие регионы России</v>
      </c>
      <c r="B43" s="280" t="str">
        <f>IF(Contents!$A$1=2,"th. t","тыс. т")</f>
        <v>тыс. т</v>
      </c>
      <c r="C43" s="16"/>
      <c r="D43" s="497">
        <v>1911</v>
      </c>
      <c r="E43" s="416"/>
      <c r="F43" s="416">
        <v>459</v>
      </c>
      <c r="G43" s="416">
        <v>476</v>
      </c>
      <c r="H43" s="416">
        <v>490</v>
      </c>
      <c r="I43" s="416">
        <v>479</v>
      </c>
      <c r="J43" s="416">
        <v>1904</v>
      </c>
      <c r="K43" s="416"/>
      <c r="L43" s="416">
        <v>457</v>
      </c>
      <c r="M43" s="416">
        <v>465</v>
      </c>
      <c r="N43" s="416">
        <v>464</v>
      </c>
      <c r="O43" s="416">
        <v>446</v>
      </c>
      <c r="P43" s="416">
        <v>1832</v>
      </c>
      <c r="Q43" s="416"/>
      <c r="R43" s="416">
        <v>422</v>
      </c>
      <c r="S43" s="416">
        <v>421</v>
      </c>
      <c r="T43" s="416">
        <v>427</v>
      </c>
      <c r="U43" s="416">
        <v>416</v>
      </c>
      <c r="V43" s="416">
        <v>1686</v>
      </c>
      <c r="W43" s="416"/>
      <c r="X43" s="416">
        <v>397</v>
      </c>
      <c r="Y43" s="416">
        <v>397</v>
      </c>
      <c r="Z43" s="416">
        <v>400</v>
      </c>
      <c r="AA43" s="416">
        <v>403</v>
      </c>
      <c r="AB43" s="416">
        <v>1597</v>
      </c>
      <c r="AC43" s="416"/>
      <c r="AD43" s="416">
        <v>388</v>
      </c>
      <c r="AE43" s="416">
        <v>410</v>
      </c>
      <c r="AF43" s="416">
        <v>428</v>
      </c>
      <c r="AG43" s="416">
        <v>400</v>
      </c>
      <c r="AH43" s="416">
        <v>1626</v>
      </c>
      <c r="AI43" s="416"/>
      <c r="AJ43" s="416">
        <v>387</v>
      </c>
      <c r="AK43" s="416">
        <v>372</v>
      </c>
      <c r="AL43" s="416">
        <v>374</v>
      </c>
      <c r="AM43" s="416">
        <v>353</v>
      </c>
      <c r="AN43" s="416">
        <v>1486</v>
      </c>
      <c r="AO43" s="416"/>
      <c r="AP43" s="416">
        <v>357</v>
      </c>
      <c r="AQ43" s="416">
        <v>358</v>
      </c>
      <c r="AR43" s="416">
        <v>358</v>
      </c>
      <c r="AS43" s="416">
        <v>351</v>
      </c>
      <c r="AT43" s="416">
        <v>1424</v>
      </c>
    </row>
    <row r="44" spans="1:47" s="1" customFormat="1" ht="15" customHeight="1" x14ac:dyDescent="0.2">
      <c r="A44" s="121" t="str">
        <f>IF(Contents!$A$1=2,"Crude oil produced outside Russia","Добыча за рубежом")</f>
        <v>Добыча за рубежом</v>
      </c>
      <c r="B44" s="281" t="str">
        <f>IF(Contents!$A$1=2,"th. t","тыс. т")</f>
        <v>тыс. т</v>
      </c>
      <c r="C44" s="16"/>
      <c r="D44" s="499">
        <v>7800</v>
      </c>
      <c r="E44" s="500"/>
      <c r="F44" s="500">
        <v>2537</v>
      </c>
      <c r="G44" s="500">
        <v>2825</v>
      </c>
      <c r="H44" s="500">
        <v>3580</v>
      </c>
      <c r="I44" s="500">
        <v>3670</v>
      </c>
      <c r="J44" s="500">
        <v>12612</v>
      </c>
      <c r="K44" s="500"/>
      <c r="L44" s="500">
        <v>3162</v>
      </c>
      <c r="M44" s="500">
        <v>1348</v>
      </c>
      <c r="N44" s="500">
        <v>1500</v>
      </c>
      <c r="O44" s="500">
        <v>1091</v>
      </c>
      <c r="P44" s="501">
        <v>7101</v>
      </c>
      <c r="Q44" s="501"/>
      <c r="R44" s="500">
        <v>922</v>
      </c>
      <c r="S44" s="500">
        <v>978</v>
      </c>
      <c r="T44" s="500">
        <v>1003</v>
      </c>
      <c r="U44" s="500">
        <v>922</v>
      </c>
      <c r="V44" s="500">
        <v>3825</v>
      </c>
      <c r="W44" s="500"/>
      <c r="X44" s="500">
        <v>941</v>
      </c>
      <c r="Y44" s="500">
        <v>775</v>
      </c>
      <c r="Z44" s="500">
        <v>926</v>
      </c>
      <c r="AA44" s="500">
        <v>773</v>
      </c>
      <c r="AB44" s="500">
        <v>3415</v>
      </c>
      <c r="AC44" s="500"/>
      <c r="AD44" s="500">
        <v>849</v>
      </c>
      <c r="AE44" s="500">
        <v>886</v>
      </c>
      <c r="AF44" s="500">
        <v>951</v>
      </c>
      <c r="AG44" s="500">
        <v>1040</v>
      </c>
      <c r="AH44" s="500">
        <v>3726</v>
      </c>
      <c r="AI44" s="500"/>
      <c r="AJ44" s="500">
        <v>1309</v>
      </c>
      <c r="AK44" s="500">
        <v>1661</v>
      </c>
      <c r="AL44" s="500">
        <v>1061</v>
      </c>
      <c r="AM44" s="500">
        <v>1068</v>
      </c>
      <c r="AN44" s="500">
        <v>5099</v>
      </c>
      <c r="AO44" s="500"/>
      <c r="AP44" s="500">
        <v>1170</v>
      </c>
      <c r="AQ44" s="500">
        <v>961</v>
      </c>
      <c r="AR44" s="500">
        <v>701</v>
      </c>
      <c r="AS44" s="500">
        <v>1048</v>
      </c>
      <c r="AT44" s="500">
        <v>3880</v>
      </c>
    </row>
    <row r="45" spans="1:47" s="1" customFormat="1" ht="15" customHeight="1" x14ac:dyDescent="0.2">
      <c r="A45" s="122" t="str">
        <f>IF(Contents!$A$1=2,"Iraq","Ирак")</f>
        <v>Ирак</v>
      </c>
      <c r="B45" s="280" t="str">
        <f>IF(Contents!$A$1=2,"th. t","тыс. т")</f>
        <v>тыс. т</v>
      </c>
      <c r="C45" s="16"/>
      <c r="D45" s="497">
        <v>6087</v>
      </c>
      <c r="E45" s="416"/>
      <c r="F45" s="416">
        <v>2059</v>
      </c>
      <c r="G45" s="416">
        <v>2353</v>
      </c>
      <c r="H45" s="416">
        <v>3146</v>
      </c>
      <c r="I45" s="416">
        <v>3167</v>
      </c>
      <c r="J45" s="416">
        <v>10725</v>
      </c>
      <c r="K45" s="416"/>
      <c r="L45" s="416">
        <v>2601</v>
      </c>
      <c r="M45" s="416">
        <v>909</v>
      </c>
      <c r="N45" s="416">
        <v>967</v>
      </c>
      <c r="O45" s="416">
        <v>587</v>
      </c>
      <c r="P45" s="416">
        <v>5064</v>
      </c>
      <c r="Q45" s="416"/>
      <c r="R45" s="416">
        <v>405</v>
      </c>
      <c r="S45" s="416">
        <v>482</v>
      </c>
      <c r="T45" s="416">
        <v>539</v>
      </c>
      <c r="U45" s="416">
        <v>396</v>
      </c>
      <c r="V45" s="416">
        <v>1822</v>
      </c>
      <c r="W45" s="416"/>
      <c r="X45" s="416">
        <v>451</v>
      </c>
      <c r="Y45" s="416">
        <v>318</v>
      </c>
      <c r="Z45" s="416">
        <v>469</v>
      </c>
      <c r="AA45" s="416">
        <v>276</v>
      </c>
      <c r="AB45" s="416">
        <v>1514</v>
      </c>
      <c r="AC45" s="416"/>
      <c r="AD45" s="416">
        <v>365</v>
      </c>
      <c r="AE45" s="416">
        <v>410</v>
      </c>
      <c r="AF45" s="416">
        <v>417</v>
      </c>
      <c r="AG45" s="416">
        <v>424</v>
      </c>
      <c r="AH45" s="416">
        <v>1616</v>
      </c>
      <c r="AI45" s="416"/>
      <c r="AJ45" s="416">
        <v>721</v>
      </c>
      <c r="AK45" s="416">
        <v>1094</v>
      </c>
      <c r="AL45" s="416">
        <v>565</v>
      </c>
      <c r="AM45" s="416">
        <v>463</v>
      </c>
      <c r="AN45" s="416">
        <v>2843</v>
      </c>
      <c r="AO45" s="416"/>
      <c r="AP45" s="416">
        <v>609</v>
      </c>
      <c r="AQ45" s="416">
        <v>460</v>
      </c>
      <c r="AR45" s="416">
        <v>271</v>
      </c>
      <c r="AS45" s="416">
        <v>488</v>
      </c>
      <c r="AT45" s="416">
        <v>1828</v>
      </c>
    </row>
    <row r="46" spans="1:47" s="1" customFormat="1" ht="15" customHeight="1" x14ac:dyDescent="0.2">
      <c r="A46" s="122" t="str">
        <f>IF(Contents!$A$1=2,"Other outside Russia","Прочие регионы за рубежом")</f>
        <v>Прочие регионы за рубежом</v>
      </c>
      <c r="B46" s="280" t="str">
        <f>IF(Contents!$A$1=2,"th. t","тыс. т")</f>
        <v>тыс. т</v>
      </c>
      <c r="C46" s="16"/>
      <c r="D46" s="497">
        <v>1713</v>
      </c>
      <c r="E46" s="416"/>
      <c r="F46" s="416">
        <v>478</v>
      </c>
      <c r="G46" s="416">
        <v>472</v>
      </c>
      <c r="H46" s="416">
        <v>434</v>
      </c>
      <c r="I46" s="416">
        <v>503</v>
      </c>
      <c r="J46" s="416">
        <v>1887</v>
      </c>
      <c r="K46" s="416"/>
      <c r="L46" s="416">
        <v>561</v>
      </c>
      <c r="M46" s="416">
        <v>439</v>
      </c>
      <c r="N46" s="416">
        <v>533</v>
      </c>
      <c r="O46" s="416">
        <v>504</v>
      </c>
      <c r="P46" s="416">
        <v>2037</v>
      </c>
      <c r="Q46" s="416"/>
      <c r="R46" s="416">
        <v>517</v>
      </c>
      <c r="S46" s="416">
        <v>496</v>
      </c>
      <c r="T46" s="416">
        <v>464</v>
      </c>
      <c r="U46" s="416">
        <v>526</v>
      </c>
      <c r="V46" s="416">
        <v>2003</v>
      </c>
      <c r="W46" s="416"/>
      <c r="X46" s="416">
        <v>490</v>
      </c>
      <c r="Y46" s="416">
        <v>457</v>
      </c>
      <c r="Z46" s="416">
        <v>457</v>
      </c>
      <c r="AA46" s="416">
        <v>497</v>
      </c>
      <c r="AB46" s="416">
        <v>1901</v>
      </c>
      <c r="AC46" s="416"/>
      <c r="AD46" s="416">
        <v>484</v>
      </c>
      <c r="AE46" s="416">
        <v>476</v>
      </c>
      <c r="AF46" s="416">
        <v>534</v>
      </c>
      <c r="AG46" s="416">
        <v>616</v>
      </c>
      <c r="AH46" s="416">
        <v>2110</v>
      </c>
      <c r="AI46" s="416"/>
      <c r="AJ46" s="416">
        <v>588</v>
      </c>
      <c r="AK46" s="416">
        <v>567</v>
      </c>
      <c r="AL46" s="416">
        <v>496</v>
      </c>
      <c r="AM46" s="416">
        <v>605</v>
      </c>
      <c r="AN46" s="416">
        <v>2256</v>
      </c>
      <c r="AO46" s="416"/>
      <c r="AP46" s="416">
        <v>561</v>
      </c>
      <c r="AQ46" s="416">
        <v>501</v>
      </c>
      <c r="AR46" s="416">
        <v>430</v>
      </c>
      <c r="AS46" s="416">
        <v>560</v>
      </c>
      <c r="AT46" s="416">
        <v>2052</v>
      </c>
    </row>
    <row r="47" spans="1:47" s="1" customFormat="1" ht="15" customHeight="1" x14ac:dyDescent="0.2">
      <c r="A47" s="234" t="str">
        <f>IF(Contents!$A$1=2,"Our share in crude oil produced by associates","Доля Группы в добыче ассоциированных")</f>
        <v>Доля Группы в добыче ассоциированных</v>
      </c>
      <c r="B47" s="279" t="str">
        <f>IF(Contents!$A$1=2,"th. t","тыс. т")</f>
        <v>тыс. т</v>
      </c>
      <c r="C47" s="16"/>
      <c r="D47" s="492">
        <v>3599</v>
      </c>
      <c r="E47" s="493"/>
      <c r="F47" s="494">
        <v>916</v>
      </c>
      <c r="G47" s="494">
        <v>899</v>
      </c>
      <c r="H47" s="494">
        <v>744</v>
      </c>
      <c r="I47" s="494">
        <v>651</v>
      </c>
      <c r="J47" s="494">
        <v>3210</v>
      </c>
      <c r="K47" s="493"/>
      <c r="L47" s="494">
        <v>683</v>
      </c>
      <c r="M47" s="494">
        <v>678</v>
      </c>
      <c r="N47" s="494">
        <v>613</v>
      </c>
      <c r="O47" s="494">
        <v>711</v>
      </c>
      <c r="P47" s="495">
        <v>2685</v>
      </c>
      <c r="Q47" s="496"/>
      <c r="R47" s="494">
        <v>702</v>
      </c>
      <c r="S47" s="494">
        <v>690</v>
      </c>
      <c r="T47" s="494">
        <v>611</v>
      </c>
      <c r="U47" s="494">
        <v>591</v>
      </c>
      <c r="V47" s="494">
        <v>2594</v>
      </c>
      <c r="W47" s="493"/>
      <c r="X47" s="494">
        <v>589</v>
      </c>
      <c r="Y47" s="494">
        <v>582</v>
      </c>
      <c r="Z47" s="494">
        <v>554</v>
      </c>
      <c r="AA47" s="494">
        <v>572</v>
      </c>
      <c r="AB47" s="494">
        <v>2297</v>
      </c>
      <c r="AC47" s="493"/>
      <c r="AD47" s="494">
        <v>584</v>
      </c>
      <c r="AE47" s="494">
        <v>573</v>
      </c>
      <c r="AF47" s="494">
        <v>554</v>
      </c>
      <c r="AG47" s="494">
        <v>593</v>
      </c>
      <c r="AH47" s="494">
        <v>2304</v>
      </c>
      <c r="AI47" s="493"/>
      <c r="AJ47" s="494">
        <v>569</v>
      </c>
      <c r="AK47" s="494">
        <v>492</v>
      </c>
      <c r="AL47" s="494">
        <v>462</v>
      </c>
      <c r="AM47" s="494">
        <v>487</v>
      </c>
      <c r="AN47" s="494">
        <v>2010</v>
      </c>
      <c r="AO47" s="493"/>
      <c r="AP47" s="494">
        <v>473</v>
      </c>
      <c r="AQ47" s="494">
        <v>483</v>
      </c>
      <c r="AR47" s="494">
        <v>373</v>
      </c>
      <c r="AS47" s="494">
        <v>502</v>
      </c>
      <c r="AT47" s="494">
        <v>1831</v>
      </c>
    </row>
    <row r="48" spans="1:47" s="1" customFormat="1" ht="15" customHeight="1" x14ac:dyDescent="0.2">
      <c r="A48" s="123" t="str">
        <f>IF(Contents!$A$1=2,"in Russia","в России")</f>
        <v>в России</v>
      </c>
      <c r="B48" s="281" t="str">
        <f>IF(Contents!$A$1=2,"th. t","тыс. т")</f>
        <v>тыс. т</v>
      </c>
      <c r="C48" s="79"/>
      <c r="D48" s="499">
        <v>519</v>
      </c>
      <c r="E48" s="500"/>
      <c r="F48" s="500">
        <v>174</v>
      </c>
      <c r="G48" s="500">
        <v>176</v>
      </c>
      <c r="H48" s="500">
        <v>186</v>
      </c>
      <c r="I48" s="500">
        <v>210</v>
      </c>
      <c r="J48" s="500">
        <v>746</v>
      </c>
      <c r="K48" s="500"/>
      <c r="L48" s="500">
        <v>226</v>
      </c>
      <c r="M48" s="500">
        <v>242</v>
      </c>
      <c r="N48" s="500">
        <v>246</v>
      </c>
      <c r="O48" s="500">
        <v>257</v>
      </c>
      <c r="P48" s="500">
        <v>971</v>
      </c>
      <c r="Q48" s="500"/>
      <c r="R48" s="500">
        <v>264</v>
      </c>
      <c r="S48" s="500">
        <v>254</v>
      </c>
      <c r="T48" s="500">
        <v>201</v>
      </c>
      <c r="U48" s="500">
        <v>165</v>
      </c>
      <c r="V48" s="500">
        <v>884</v>
      </c>
      <c r="W48" s="500"/>
      <c r="X48" s="500">
        <v>158</v>
      </c>
      <c r="Y48" s="500">
        <v>157</v>
      </c>
      <c r="Z48" s="500">
        <v>159</v>
      </c>
      <c r="AA48" s="500">
        <v>159</v>
      </c>
      <c r="AB48" s="500">
        <v>633</v>
      </c>
      <c r="AC48" s="500"/>
      <c r="AD48" s="500">
        <v>151</v>
      </c>
      <c r="AE48" s="500">
        <v>155</v>
      </c>
      <c r="AF48" s="500">
        <v>152</v>
      </c>
      <c r="AG48" s="500">
        <v>152</v>
      </c>
      <c r="AH48" s="500">
        <v>610</v>
      </c>
      <c r="AI48" s="500"/>
      <c r="AJ48" s="500">
        <v>138</v>
      </c>
      <c r="AK48" s="500">
        <v>119</v>
      </c>
      <c r="AL48" s="500">
        <v>124</v>
      </c>
      <c r="AM48" s="500">
        <v>138</v>
      </c>
      <c r="AN48" s="500">
        <v>519</v>
      </c>
      <c r="AO48" s="500"/>
      <c r="AP48" s="500">
        <v>141</v>
      </c>
      <c r="AQ48" s="500">
        <v>138</v>
      </c>
      <c r="AR48" s="500">
        <v>104</v>
      </c>
      <c r="AS48" s="500">
        <v>120</v>
      </c>
      <c r="AT48" s="500">
        <v>503</v>
      </c>
    </row>
    <row r="49" spans="1:47" s="1" customFormat="1" ht="15" customHeight="1" x14ac:dyDescent="0.2">
      <c r="A49" s="122" t="str">
        <f>IF(Contents!$A$1=2,"outside Russia","за рубежом")</f>
        <v>за рубежом</v>
      </c>
      <c r="B49" s="280" t="str">
        <f>IF(Contents!$A$1=2,"th. t","тыс. т")</f>
        <v>тыс. т</v>
      </c>
      <c r="C49" s="16"/>
      <c r="D49" s="497">
        <v>3080</v>
      </c>
      <c r="E49" s="416"/>
      <c r="F49" s="416">
        <v>742</v>
      </c>
      <c r="G49" s="416">
        <v>723</v>
      </c>
      <c r="H49" s="416">
        <v>558</v>
      </c>
      <c r="I49" s="416">
        <v>441</v>
      </c>
      <c r="J49" s="416">
        <v>2464</v>
      </c>
      <c r="K49" s="416"/>
      <c r="L49" s="416">
        <v>457</v>
      </c>
      <c r="M49" s="416">
        <v>436</v>
      </c>
      <c r="N49" s="416">
        <v>367</v>
      </c>
      <c r="O49" s="416">
        <v>454</v>
      </c>
      <c r="P49" s="416">
        <v>1714</v>
      </c>
      <c r="Q49" s="416"/>
      <c r="R49" s="416">
        <v>438</v>
      </c>
      <c r="S49" s="416">
        <v>436</v>
      </c>
      <c r="T49" s="416">
        <v>410</v>
      </c>
      <c r="U49" s="416">
        <v>426</v>
      </c>
      <c r="V49" s="416">
        <v>1710</v>
      </c>
      <c r="W49" s="416"/>
      <c r="X49" s="416">
        <v>431</v>
      </c>
      <c r="Y49" s="416">
        <v>425</v>
      </c>
      <c r="Z49" s="416">
        <v>395</v>
      </c>
      <c r="AA49" s="416">
        <v>413</v>
      </c>
      <c r="AB49" s="416">
        <v>1664</v>
      </c>
      <c r="AC49" s="416"/>
      <c r="AD49" s="416">
        <v>433</v>
      </c>
      <c r="AE49" s="416">
        <v>418</v>
      </c>
      <c r="AF49" s="416">
        <v>402</v>
      </c>
      <c r="AG49" s="416">
        <v>441</v>
      </c>
      <c r="AH49" s="416">
        <v>1694</v>
      </c>
      <c r="AI49" s="416"/>
      <c r="AJ49" s="416">
        <v>431</v>
      </c>
      <c r="AK49" s="416">
        <v>373</v>
      </c>
      <c r="AL49" s="416">
        <v>338</v>
      </c>
      <c r="AM49" s="416">
        <v>349</v>
      </c>
      <c r="AN49" s="416">
        <v>1491</v>
      </c>
      <c r="AO49" s="416"/>
      <c r="AP49" s="416">
        <v>332</v>
      </c>
      <c r="AQ49" s="416">
        <v>345</v>
      </c>
      <c r="AR49" s="416">
        <v>269</v>
      </c>
      <c r="AS49" s="416">
        <v>382</v>
      </c>
      <c r="AT49" s="416">
        <v>1328</v>
      </c>
    </row>
    <row r="50" spans="1:47" ht="15" customHeight="1" x14ac:dyDescent="0.2">
      <c r="D50" s="197"/>
      <c r="E50" s="235"/>
      <c r="F50" s="197"/>
      <c r="G50" s="197"/>
      <c r="H50" s="197"/>
      <c r="I50" s="197"/>
      <c r="J50" s="197"/>
      <c r="K50" s="235"/>
      <c r="L50" s="197"/>
      <c r="M50" s="197"/>
      <c r="N50" s="197"/>
      <c r="O50" s="197"/>
      <c r="P50" s="197"/>
      <c r="Q50" s="235"/>
      <c r="R50" s="197"/>
      <c r="S50" s="197"/>
      <c r="T50" s="197"/>
      <c r="U50" s="197"/>
      <c r="V50" s="197"/>
      <c r="W50" s="235"/>
      <c r="X50" s="197"/>
      <c r="Y50" s="197"/>
      <c r="Z50" s="197"/>
      <c r="AA50" s="197"/>
      <c r="AB50" s="197"/>
      <c r="AC50" s="235"/>
      <c r="AD50" s="197"/>
      <c r="AE50" s="197"/>
      <c r="AF50" s="197"/>
      <c r="AG50" s="197"/>
      <c r="AH50" s="197"/>
      <c r="AI50" s="235"/>
      <c r="AJ50" s="197"/>
      <c r="AK50" s="197"/>
      <c r="AL50" s="197"/>
      <c r="AM50" s="197"/>
      <c r="AN50" s="197"/>
      <c r="AO50" s="235"/>
      <c r="AP50" s="197"/>
      <c r="AQ50" s="197"/>
      <c r="AR50" s="197"/>
      <c r="AS50" s="197"/>
      <c r="AT50" s="220"/>
      <c r="AU50" s="220"/>
    </row>
    <row r="51" spans="1:47" ht="15" customHeight="1" x14ac:dyDescent="0.2">
      <c r="D51" s="197"/>
      <c r="E51" s="235"/>
      <c r="F51" s="197"/>
      <c r="G51" s="197"/>
      <c r="H51" s="197"/>
      <c r="I51" s="197"/>
      <c r="J51" s="197"/>
      <c r="K51" s="235"/>
      <c r="L51" s="197"/>
      <c r="M51" s="197"/>
      <c r="N51" s="197"/>
      <c r="O51" s="197"/>
      <c r="P51" s="197"/>
      <c r="Q51" s="235"/>
      <c r="R51" s="197"/>
      <c r="S51" s="197"/>
      <c r="T51" s="197"/>
      <c r="U51" s="197"/>
      <c r="V51" s="197"/>
      <c r="W51" s="235"/>
      <c r="X51" s="197"/>
      <c r="Y51" s="197"/>
      <c r="Z51" s="197"/>
      <c r="AA51" s="197"/>
      <c r="AB51" s="197"/>
      <c r="AC51" s="235"/>
      <c r="AD51" s="197"/>
      <c r="AE51" s="197"/>
      <c r="AF51" s="197"/>
      <c r="AG51" s="197"/>
      <c r="AH51" s="197"/>
      <c r="AI51" s="235"/>
      <c r="AJ51" s="197"/>
      <c r="AK51" s="197"/>
      <c r="AL51" s="197"/>
      <c r="AM51" s="197"/>
      <c r="AN51" s="197"/>
      <c r="AO51" s="235"/>
      <c r="AP51" s="197"/>
      <c r="AQ51" s="197"/>
      <c r="AR51" s="197"/>
      <c r="AS51" s="197"/>
      <c r="AT51" s="220"/>
      <c r="AU51" s="220"/>
    </row>
    <row r="52" spans="1:47" s="21" customFormat="1" ht="15" customHeight="1" x14ac:dyDescent="0.3">
      <c r="A52" s="39" t="str">
        <f>IF(Contents!$A$1=2,"Gas produced¹","Добыча газа¹")</f>
        <v>Добыча газа¹</v>
      </c>
      <c r="B52" s="39"/>
      <c r="D52" s="198"/>
      <c r="E52" s="236"/>
      <c r="F52" s="198"/>
      <c r="G52" s="198"/>
      <c r="H52" s="198"/>
      <c r="I52" s="198"/>
      <c r="J52" s="198"/>
      <c r="K52" s="236"/>
      <c r="L52" s="198"/>
      <c r="M52" s="198"/>
      <c r="N52" s="198"/>
      <c r="O52" s="198"/>
      <c r="P52" s="198"/>
      <c r="Q52" s="236"/>
      <c r="R52" s="198"/>
      <c r="S52" s="198"/>
      <c r="T52" s="198"/>
      <c r="U52" s="198"/>
      <c r="V52" s="198"/>
      <c r="W52" s="236"/>
      <c r="X52" s="198"/>
      <c r="Y52" s="198"/>
      <c r="Z52" s="198"/>
      <c r="AA52" s="198"/>
      <c r="AB52" s="198"/>
      <c r="AC52" s="236"/>
      <c r="AD52" s="198"/>
      <c r="AE52" s="198"/>
      <c r="AF52" s="198"/>
      <c r="AG52" s="198"/>
      <c r="AH52" s="198"/>
      <c r="AI52" s="236"/>
      <c r="AJ52" s="198"/>
      <c r="AK52" s="198"/>
      <c r="AL52" s="198"/>
      <c r="AM52" s="198"/>
      <c r="AN52" s="198"/>
      <c r="AO52" s="236"/>
      <c r="AP52" s="198"/>
      <c r="AQ52" s="198"/>
      <c r="AR52" s="198"/>
      <c r="AS52" s="198"/>
      <c r="AT52" s="223"/>
      <c r="AU52" s="223"/>
    </row>
    <row r="53" spans="1:47" ht="15" customHeight="1" x14ac:dyDescent="0.2">
      <c r="A53" s="38"/>
      <c r="B53" s="38"/>
      <c r="D53" s="197"/>
      <c r="E53" s="235"/>
      <c r="F53" s="197"/>
      <c r="G53" s="197"/>
      <c r="H53" s="197"/>
      <c r="I53" s="197"/>
      <c r="J53" s="197"/>
      <c r="K53" s="235"/>
      <c r="L53" s="197"/>
      <c r="M53" s="197"/>
      <c r="N53" s="197"/>
      <c r="O53" s="197"/>
      <c r="P53" s="202"/>
      <c r="Q53" s="238"/>
      <c r="R53" s="197"/>
      <c r="S53" s="197"/>
      <c r="T53" s="197"/>
      <c r="U53" s="197"/>
      <c r="V53" s="202"/>
      <c r="W53" s="238"/>
      <c r="X53" s="197"/>
      <c r="Y53" s="197"/>
      <c r="Z53" s="197"/>
      <c r="AA53" s="197"/>
      <c r="AB53" s="202"/>
      <c r="AC53" s="238"/>
      <c r="AD53" s="197"/>
      <c r="AE53" s="197"/>
      <c r="AF53" s="197"/>
      <c r="AG53" s="197"/>
      <c r="AH53" s="202"/>
      <c r="AI53" s="238"/>
      <c r="AJ53" s="197"/>
      <c r="AK53" s="197"/>
      <c r="AL53" s="197"/>
      <c r="AM53" s="197"/>
      <c r="AN53" s="202"/>
      <c r="AO53" s="238"/>
      <c r="AP53" s="202"/>
      <c r="AQ53" s="202"/>
      <c r="AR53" s="202"/>
      <c r="AS53" s="202"/>
      <c r="AT53" s="220"/>
      <c r="AU53" s="220"/>
    </row>
    <row r="54" spans="1:47" s="206" customFormat="1" ht="15" customHeight="1" x14ac:dyDescent="0.2">
      <c r="A54" s="75"/>
      <c r="B54" s="134"/>
      <c r="C54" s="16"/>
      <c r="D54" s="317">
        <v>2014</v>
      </c>
      <c r="E54" s="324"/>
      <c r="F54" s="325" t="str">
        <f>IF(Contents!$A$1=2,"1Q","1 кв")</f>
        <v>1 кв</v>
      </c>
      <c r="G54" s="325" t="str">
        <f>IF(Contents!$A$1=2,"2Q","2 кв")</f>
        <v>2 кв</v>
      </c>
      <c r="H54" s="325" t="str">
        <f>IF(Contents!$A$1=2,"3Q","3 кв")</f>
        <v>3 кв</v>
      </c>
      <c r="I54" s="325" t="str">
        <f>IF(Contents!$A$1=2,"4Q","4 кв")</f>
        <v>4 кв</v>
      </c>
      <c r="J54" s="329">
        <v>2015</v>
      </c>
      <c r="K54" s="330"/>
      <c r="L54" s="325" t="str">
        <f>IF(Contents!$A$1=2,"1Q","1 кв")</f>
        <v>1 кв</v>
      </c>
      <c r="M54" s="325" t="str">
        <f>IF(Contents!$A$1=2,"2Q","2 кв")</f>
        <v>2 кв</v>
      </c>
      <c r="N54" s="325" t="str">
        <f>IF(Contents!$A$1=2,"3Q","3 кв")</f>
        <v>3 кв</v>
      </c>
      <c r="O54" s="325" t="str">
        <f>IF(Contents!$A$1=2,"4Q","4 кв")</f>
        <v>4 кв</v>
      </c>
      <c r="P54" s="329">
        <v>2016</v>
      </c>
      <c r="Q54" s="330"/>
      <c r="R54" s="325" t="str">
        <f>IF(Contents!$A$1=2,"1Q","1 кв")</f>
        <v>1 кв</v>
      </c>
      <c r="S54" s="325" t="str">
        <f>IF(Contents!$A$1=2,"2Q","2 кв")</f>
        <v>2 кв</v>
      </c>
      <c r="T54" s="325" t="str">
        <f>IF(Contents!$A$1=2,"3Q","3 кв")</f>
        <v>3 кв</v>
      </c>
      <c r="U54" s="325" t="str">
        <f>IF(Contents!$A$1=2,"4Q","4 кв")</f>
        <v>4 кв</v>
      </c>
      <c r="V54" s="317">
        <v>2017</v>
      </c>
      <c r="W54" s="324"/>
      <c r="X54" s="325" t="str">
        <f>IF(Contents!$A$1=2,"1Q","1 кв")</f>
        <v>1 кв</v>
      </c>
      <c r="Y54" s="325" t="str">
        <f>IF(Contents!$A$1=2,"2Q","2 кв")</f>
        <v>2 кв</v>
      </c>
      <c r="Z54" s="325" t="str">
        <f>IF(Contents!$A$1=2,"3Q","3 кв")</f>
        <v>3 кв</v>
      </c>
      <c r="AA54" s="325" t="str">
        <f>IF(Contents!$A$1=2,"4Q","4 кв")</f>
        <v>4 кв</v>
      </c>
      <c r="AB54" s="317">
        <v>2018</v>
      </c>
      <c r="AC54" s="324"/>
      <c r="AD54" s="325" t="str">
        <f>IF(Contents!$A$1=2,"1Q","1 кв")</f>
        <v>1 кв</v>
      </c>
      <c r="AE54" s="325" t="str">
        <f>IF(Contents!$A$1=2,"2Q","2 кв")</f>
        <v>2 кв</v>
      </c>
      <c r="AF54" s="325" t="str">
        <f>IF(Contents!$A$1=2,"3Q","3 кв")</f>
        <v>3 кв</v>
      </c>
      <c r="AG54" s="325" t="str">
        <f>IF(Contents!$A$1=2,"4Q","4 кв")</f>
        <v>4 кв</v>
      </c>
      <c r="AH54" s="317">
        <v>2019</v>
      </c>
      <c r="AI54" s="324"/>
      <c r="AJ54" s="325" t="str">
        <f>IF(Contents!$A$1=2,"1Q","1 кв")</f>
        <v>1 кв</v>
      </c>
      <c r="AK54" s="325" t="str">
        <f>IF(Contents!$A$1=2,"2Q","2 кв")</f>
        <v>2 кв</v>
      </c>
      <c r="AL54" s="325" t="str">
        <f>IF(Contents!$A$1=2,"3Q","3 кв")</f>
        <v>3 кв</v>
      </c>
      <c r="AM54" s="325" t="str">
        <f>IF(Contents!$A$1=2,"4Q","4 кв")</f>
        <v>4 кв</v>
      </c>
      <c r="AN54" s="317">
        <v>2020</v>
      </c>
      <c r="AO54" s="324"/>
      <c r="AP54" s="325" t="str">
        <f>IF(Contents!$A$1=2,"1Q","1 кв")</f>
        <v>1 кв</v>
      </c>
      <c r="AQ54" s="325" t="str">
        <f>IF(Contents!$A$1=2,"2Q","2 кв")</f>
        <v>2 кв</v>
      </c>
      <c r="AR54" s="325" t="str">
        <f>IF(Contents!$A$1=2,"3Q","3 кв")</f>
        <v>3 кв</v>
      </c>
      <c r="AS54" s="325" t="str">
        <f>IF(Contents!$A$1=2,"4Q","4 кв")</f>
        <v>4 кв</v>
      </c>
      <c r="AT54" s="317">
        <v>2021</v>
      </c>
      <c r="AU54" s="222"/>
    </row>
    <row r="55" spans="1:47" s="206" customFormat="1" ht="15" customHeight="1" x14ac:dyDescent="0.2">
      <c r="A55" s="143" t="str">
        <f>IF(Contents!$A$1=2,"Total natural and petroleum gas","Итого добыча природного и нефтяного газа")</f>
        <v>Итого добыча природного и нефтяного газа</v>
      </c>
      <c r="B55" s="287" t="str">
        <f>IF(Contents!$A$1=2,"th. boe per day","тыс. барр. н. э./сут")</f>
        <v>тыс. барр. н. э./сут</v>
      </c>
      <c r="C55" s="16"/>
      <c r="D55" s="494">
        <v>322</v>
      </c>
      <c r="E55" s="493"/>
      <c r="F55" s="494">
        <v>336</v>
      </c>
      <c r="G55" s="494">
        <v>322</v>
      </c>
      <c r="H55" s="494">
        <v>305</v>
      </c>
      <c r="I55" s="494">
        <v>343</v>
      </c>
      <c r="J55" s="495">
        <v>327</v>
      </c>
      <c r="K55" s="493"/>
      <c r="L55" s="494">
        <v>407</v>
      </c>
      <c r="M55" s="494">
        <v>387</v>
      </c>
      <c r="N55" s="494">
        <v>392</v>
      </c>
      <c r="O55" s="494">
        <v>418.3547206623345</v>
      </c>
      <c r="P55" s="495">
        <v>401</v>
      </c>
      <c r="Q55" s="496"/>
      <c r="R55" s="494">
        <v>422</v>
      </c>
      <c r="S55" s="494">
        <v>450</v>
      </c>
      <c r="T55" s="494">
        <v>464</v>
      </c>
      <c r="U55" s="494">
        <v>524</v>
      </c>
      <c r="V55" s="495">
        <v>465</v>
      </c>
      <c r="W55" s="496"/>
      <c r="X55" s="494">
        <v>523</v>
      </c>
      <c r="Y55" s="494">
        <v>526</v>
      </c>
      <c r="Z55" s="494">
        <v>545</v>
      </c>
      <c r="AA55" s="494">
        <v>570</v>
      </c>
      <c r="AB55" s="494">
        <v>541</v>
      </c>
      <c r="AC55" s="496"/>
      <c r="AD55" s="494">
        <v>587</v>
      </c>
      <c r="AE55" s="494">
        <v>542</v>
      </c>
      <c r="AF55" s="494">
        <v>528</v>
      </c>
      <c r="AG55" s="494">
        <v>603</v>
      </c>
      <c r="AH55" s="494">
        <v>565</v>
      </c>
      <c r="AI55" s="493"/>
      <c r="AJ55" s="494">
        <v>544</v>
      </c>
      <c r="AK55" s="494">
        <v>414</v>
      </c>
      <c r="AL55" s="494">
        <v>382</v>
      </c>
      <c r="AM55" s="494">
        <v>526</v>
      </c>
      <c r="AN55" s="494">
        <v>466</v>
      </c>
      <c r="AO55" s="493"/>
      <c r="AP55" s="494">
        <v>574</v>
      </c>
      <c r="AQ55" s="494">
        <v>457</v>
      </c>
      <c r="AR55" s="494">
        <v>490</v>
      </c>
      <c r="AS55" s="494">
        <v>552</v>
      </c>
      <c r="AT55" s="494">
        <v>518</v>
      </c>
    </row>
    <row r="56" spans="1:47" s="206" customFormat="1" ht="15" customHeight="1" x14ac:dyDescent="0.2">
      <c r="A56" s="234" t="str">
        <f>IF(Contents!$A$1=2,"Total consolidated subsidiaries","Дочерние предприятия Группы")</f>
        <v>Дочерние предприятия Группы</v>
      </c>
      <c r="B56" s="284" t="str">
        <f>IF(Contents!$A$1=2,"th. boe per day","тыс. барр. н. э./сут")</f>
        <v>тыс. барр. н. э./сут</v>
      </c>
      <c r="C56" s="16"/>
      <c r="D56" s="494">
        <v>311</v>
      </c>
      <c r="E56" s="493"/>
      <c r="F56" s="494">
        <v>325</v>
      </c>
      <c r="G56" s="494">
        <v>311</v>
      </c>
      <c r="H56" s="494">
        <v>296</v>
      </c>
      <c r="I56" s="494">
        <v>335</v>
      </c>
      <c r="J56" s="495">
        <v>316</v>
      </c>
      <c r="K56" s="493"/>
      <c r="L56" s="494">
        <v>393</v>
      </c>
      <c r="M56" s="494">
        <v>372</v>
      </c>
      <c r="N56" s="494">
        <v>380</v>
      </c>
      <c r="O56" s="494">
        <v>403.19867522908595</v>
      </c>
      <c r="P56" s="495">
        <v>387</v>
      </c>
      <c r="Q56" s="496"/>
      <c r="R56" s="494">
        <v>408</v>
      </c>
      <c r="S56" s="494">
        <v>435</v>
      </c>
      <c r="T56" s="494">
        <v>450</v>
      </c>
      <c r="U56" s="494">
        <v>509</v>
      </c>
      <c r="V56" s="495">
        <v>451</v>
      </c>
      <c r="W56" s="496"/>
      <c r="X56" s="494">
        <v>511</v>
      </c>
      <c r="Y56" s="494">
        <v>513</v>
      </c>
      <c r="Z56" s="494">
        <v>534</v>
      </c>
      <c r="AA56" s="494">
        <v>558</v>
      </c>
      <c r="AB56" s="494">
        <v>529</v>
      </c>
      <c r="AC56" s="496"/>
      <c r="AD56" s="494">
        <v>575</v>
      </c>
      <c r="AE56" s="494">
        <v>530</v>
      </c>
      <c r="AF56" s="494">
        <v>517</v>
      </c>
      <c r="AG56" s="494">
        <v>591</v>
      </c>
      <c r="AH56" s="494">
        <v>554</v>
      </c>
      <c r="AI56" s="493"/>
      <c r="AJ56" s="494">
        <v>532</v>
      </c>
      <c r="AK56" s="494">
        <v>402</v>
      </c>
      <c r="AL56" s="494">
        <v>371</v>
      </c>
      <c r="AM56" s="494">
        <v>514</v>
      </c>
      <c r="AN56" s="494">
        <v>455</v>
      </c>
      <c r="AO56" s="493"/>
      <c r="AP56" s="494">
        <v>563</v>
      </c>
      <c r="AQ56" s="494">
        <v>445</v>
      </c>
      <c r="AR56" s="494">
        <v>481</v>
      </c>
      <c r="AS56" s="494">
        <v>540</v>
      </c>
      <c r="AT56" s="494">
        <v>506</v>
      </c>
    </row>
    <row r="57" spans="1:47" s="206" customFormat="1" ht="15" customHeight="1" x14ac:dyDescent="0.2">
      <c r="A57" s="121" t="str">
        <f>IF(Contents!$A$1=2,"Total in Russia","Добыча в России")</f>
        <v>Добыча в России</v>
      </c>
      <c r="B57" s="278" t="str">
        <f>IF(Contents!$A$1=2,"th. boe per day","тыс. барр. н. э./сут")</f>
        <v>тыс. барр. н. э./сут</v>
      </c>
      <c r="C57" s="79"/>
      <c r="D57" s="497">
        <v>226</v>
      </c>
      <c r="E57" s="497"/>
      <c r="F57" s="497">
        <v>224</v>
      </c>
      <c r="G57" s="497">
        <v>210</v>
      </c>
      <c r="H57" s="497">
        <v>203</v>
      </c>
      <c r="I57" s="497">
        <v>214</v>
      </c>
      <c r="J57" s="497">
        <v>212</v>
      </c>
      <c r="K57" s="497"/>
      <c r="L57" s="497">
        <v>262</v>
      </c>
      <c r="M57" s="497">
        <v>254</v>
      </c>
      <c r="N57" s="497">
        <v>266</v>
      </c>
      <c r="O57" s="497">
        <v>274.71757697207687</v>
      </c>
      <c r="P57" s="497">
        <v>264</v>
      </c>
      <c r="Q57" s="497"/>
      <c r="R57" s="497">
        <v>282</v>
      </c>
      <c r="S57" s="497">
        <v>299</v>
      </c>
      <c r="T57" s="497">
        <v>294</v>
      </c>
      <c r="U57" s="497">
        <v>291</v>
      </c>
      <c r="V57" s="497">
        <v>292</v>
      </c>
      <c r="W57" s="497"/>
      <c r="X57" s="497">
        <v>292</v>
      </c>
      <c r="Y57" s="497">
        <v>287</v>
      </c>
      <c r="Z57" s="497">
        <v>283</v>
      </c>
      <c r="AA57" s="497">
        <v>280</v>
      </c>
      <c r="AB57" s="497">
        <v>286</v>
      </c>
      <c r="AC57" s="497"/>
      <c r="AD57" s="497">
        <v>287</v>
      </c>
      <c r="AE57" s="497">
        <v>286</v>
      </c>
      <c r="AF57" s="497">
        <v>275</v>
      </c>
      <c r="AG57" s="497">
        <v>294</v>
      </c>
      <c r="AH57" s="497">
        <v>286</v>
      </c>
      <c r="AI57" s="497"/>
      <c r="AJ57" s="497">
        <v>300</v>
      </c>
      <c r="AK57" s="497">
        <v>277</v>
      </c>
      <c r="AL57" s="497">
        <v>273</v>
      </c>
      <c r="AM57" s="497">
        <v>273</v>
      </c>
      <c r="AN57" s="497">
        <v>281</v>
      </c>
      <c r="AO57" s="497"/>
      <c r="AP57" s="497">
        <v>276</v>
      </c>
      <c r="AQ57" s="497">
        <v>256</v>
      </c>
      <c r="AR57" s="497">
        <v>247</v>
      </c>
      <c r="AS57" s="497">
        <v>253</v>
      </c>
      <c r="AT57" s="497">
        <v>257</v>
      </c>
    </row>
    <row r="58" spans="1:47" s="206" customFormat="1" ht="15" customHeight="1" x14ac:dyDescent="0.2">
      <c r="A58" s="122" t="str">
        <f>IF(Contents!$A$1=2,"West Siberia","Западная Сибирь")</f>
        <v>Западная Сибирь</v>
      </c>
      <c r="B58" s="278" t="str">
        <f>IF(Contents!$A$1=2,"th. boe per day","тыс. барр. н. э./сут")</f>
        <v>тыс. барр. н. э./сут</v>
      </c>
      <c r="C58" s="16"/>
      <c r="D58" s="416">
        <v>187</v>
      </c>
      <c r="E58" s="416"/>
      <c r="F58" s="416">
        <v>180</v>
      </c>
      <c r="G58" s="416">
        <v>173</v>
      </c>
      <c r="H58" s="416">
        <v>169</v>
      </c>
      <c r="I58" s="416">
        <v>176</v>
      </c>
      <c r="J58" s="416">
        <v>174</v>
      </c>
      <c r="K58" s="416"/>
      <c r="L58" s="416">
        <v>190</v>
      </c>
      <c r="M58" s="416">
        <v>179</v>
      </c>
      <c r="N58" s="416">
        <v>184</v>
      </c>
      <c r="O58" s="416">
        <v>188.19725583946914</v>
      </c>
      <c r="P58" s="416">
        <v>185</v>
      </c>
      <c r="Q58" s="416"/>
      <c r="R58" s="416">
        <v>209</v>
      </c>
      <c r="S58" s="416">
        <v>224</v>
      </c>
      <c r="T58" s="416">
        <v>222</v>
      </c>
      <c r="U58" s="416">
        <v>215</v>
      </c>
      <c r="V58" s="416">
        <v>217</v>
      </c>
      <c r="W58" s="416"/>
      <c r="X58" s="416">
        <v>217</v>
      </c>
      <c r="Y58" s="416">
        <v>212</v>
      </c>
      <c r="Z58" s="416">
        <v>206</v>
      </c>
      <c r="AA58" s="416">
        <v>203</v>
      </c>
      <c r="AB58" s="416">
        <v>210</v>
      </c>
      <c r="AC58" s="416"/>
      <c r="AD58" s="416">
        <v>201</v>
      </c>
      <c r="AE58" s="416">
        <v>203</v>
      </c>
      <c r="AF58" s="416">
        <v>196</v>
      </c>
      <c r="AG58" s="416">
        <v>205</v>
      </c>
      <c r="AH58" s="416">
        <v>201</v>
      </c>
      <c r="AI58" s="416"/>
      <c r="AJ58" s="416">
        <v>215</v>
      </c>
      <c r="AK58" s="416">
        <v>202</v>
      </c>
      <c r="AL58" s="416">
        <v>200</v>
      </c>
      <c r="AM58" s="416">
        <v>194</v>
      </c>
      <c r="AN58" s="416">
        <v>203</v>
      </c>
      <c r="AO58" s="416"/>
      <c r="AP58" s="416">
        <v>193</v>
      </c>
      <c r="AQ58" s="416">
        <v>180</v>
      </c>
      <c r="AR58" s="416">
        <v>170</v>
      </c>
      <c r="AS58" s="416">
        <v>172</v>
      </c>
      <c r="AT58" s="416">
        <v>179</v>
      </c>
    </row>
    <row r="59" spans="1:47" s="206" customFormat="1" ht="15" customHeight="1" x14ac:dyDescent="0.2">
      <c r="A59" s="122" t="str">
        <f>IF(Contents!$A$1=2,"Timan-Pechora ","Тимано-Печора")</f>
        <v>Тимано-Печора</v>
      </c>
      <c r="B59" s="278" t="str">
        <f>IF(Contents!$A$1=2,"th. boe per day","тыс. барр. н. э./сут")</f>
        <v>тыс. барр. н. э./сут</v>
      </c>
      <c r="C59" s="16"/>
      <c r="D59" s="416">
        <v>14</v>
      </c>
      <c r="E59" s="416"/>
      <c r="F59" s="416">
        <v>12</v>
      </c>
      <c r="G59" s="416">
        <v>13</v>
      </c>
      <c r="H59" s="416">
        <v>13</v>
      </c>
      <c r="I59" s="416">
        <v>15</v>
      </c>
      <c r="J59" s="416">
        <v>13</v>
      </c>
      <c r="K59" s="416"/>
      <c r="L59" s="416">
        <v>32</v>
      </c>
      <c r="M59" s="416">
        <v>33</v>
      </c>
      <c r="N59" s="416">
        <v>35</v>
      </c>
      <c r="O59" s="416">
        <v>36.690754802172947</v>
      </c>
      <c r="P59" s="416">
        <v>34</v>
      </c>
      <c r="Q59" s="416"/>
      <c r="R59" s="416">
        <v>36</v>
      </c>
      <c r="S59" s="416">
        <v>35</v>
      </c>
      <c r="T59" s="416">
        <v>34</v>
      </c>
      <c r="U59" s="416">
        <v>34</v>
      </c>
      <c r="V59" s="416">
        <v>35</v>
      </c>
      <c r="W59" s="416"/>
      <c r="X59" s="416">
        <v>33</v>
      </c>
      <c r="Y59" s="416">
        <v>33</v>
      </c>
      <c r="Z59" s="416">
        <v>33</v>
      </c>
      <c r="AA59" s="416">
        <v>34</v>
      </c>
      <c r="AB59" s="416">
        <v>33</v>
      </c>
      <c r="AC59" s="416"/>
      <c r="AD59" s="416">
        <v>34</v>
      </c>
      <c r="AE59" s="416">
        <v>33</v>
      </c>
      <c r="AF59" s="416">
        <v>33</v>
      </c>
      <c r="AG59" s="416">
        <v>33</v>
      </c>
      <c r="AH59" s="416">
        <v>33</v>
      </c>
      <c r="AI59" s="416"/>
      <c r="AJ59" s="416">
        <v>33</v>
      </c>
      <c r="AK59" s="416">
        <v>29</v>
      </c>
      <c r="AL59" s="416">
        <v>27</v>
      </c>
      <c r="AM59" s="416">
        <v>28</v>
      </c>
      <c r="AN59" s="416">
        <v>29</v>
      </c>
      <c r="AO59" s="416"/>
      <c r="AP59" s="416">
        <v>29</v>
      </c>
      <c r="AQ59" s="416">
        <v>29</v>
      </c>
      <c r="AR59" s="416">
        <v>30</v>
      </c>
      <c r="AS59" s="416">
        <v>31</v>
      </c>
      <c r="AT59" s="416">
        <v>29</v>
      </c>
    </row>
    <row r="60" spans="1:47" s="206" customFormat="1" ht="15" customHeight="1" x14ac:dyDescent="0.2">
      <c r="A60" s="122" t="str">
        <f>IF(Contents!$A$1=2,"Ural region","Урал")</f>
        <v>Урал</v>
      </c>
      <c r="B60" s="277" t="str">
        <f>IF(Contents!$A$1=2,"th. boe per day","тыс. барр. н. э./сут")</f>
        <v>тыс. барр. н. э./сут</v>
      </c>
      <c r="C60" s="79"/>
      <c r="D60" s="500">
        <v>19</v>
      </c>
      <c r="E60" s="500"/>
      <c r="F60" s="500">
        <v>25</v>
      </c>
      <c r="G60" s="500">
        <v>18</v>
      </c>
      <c r="H60" s="500">
        <v>15</v>
      </c>
      <c r="I60" s="500">
        <v>17</v>
      </c>
      <c r="J60" s="500">
        <v>19</v>
      </c>
      <c r="K60" s="500"/>
      <c r="L60" s="500">
        <v>17</v>
      </c>
      <c r="M60" s="500">
        <v>14</v>
      </c>
      <c r="N60" s="500">
        <v>16</v>
      </c>
      <c r="O60" s="500">
        <v>16.009158790410186</v>
      </c>
      <c r="P60" s="500">
        <v>16</v>
      </c>
      <c r="Q60" s="500"/>
      <c r="R60" s="500">
        <v>17</v>
      </c>
      <c r="S60" s="500">
        <v>16</v>
      </c>
      <c r="T60" s="500">
        <v>15</v>
      </c>
      <c r="U60" s="500">
        <v>15</v>
      </c>
      <c r="V60" s="500">
        <v>16</v>
      </c>
      <c r="W60" s="500"/>
      <c r="X60" s="500">
        <v>15</v>
      </c>
      <c r="Y60" s="500">
        <v>14</v>
      </c>
      <c r="Z60" s="500">
        <v>16</v>
      </c>
      <c r="AA60" s="500">
        <v>15</v>
      </c>
      <c r="AB60" s="500">
        <v>15</v>
      </c>
      <c r="AC60" s="500"/>
      <c r="AD60" s="500">
        <v>24</v>
      </c>
      <c r="AE60" s="500">
        <v>21</v>
      </c>
      <c r="AF60" s="500">
        <v>23</v>
      </c>
      <c r="AG60" s="500">
        <v>25</v>
      </c>
      <c r="AH60" s="500">
        <v>23</v>
      </c>
      <c r="AI60" s="500"/>
      <c r="AJ60" s="500">
        <v>25</v>
      </c>
      <c r="AK60" s="500">
        <v>21</v>
      </c>
      <c r="AL60" s="500">
        <v>21</v>
      </c>
      <c r="AM60" s="500">
        <v>26</v>
      </c>
      <c r="AN60" s="500">
        <v>23</v>
      </c>
      <c r="AO60" s="500"/>
      <c r="AP60" s="500">
        <v>27</v>
      </c>
      <c r="AQ60" s="500">
        <v>23</v>
      </c>
      <c r="AR60" s="500">
        <v>21</v>
      </c>
      <c r="AS60" s="500">
        <v>26</v>
      </c>
      <c r="AT60" s="500">
        <v>24</v>
      </c>
    </row>
    <row r="61" spans="1:47" s="206" customFormat="1" ht="15" customHeight="1" x14ac:dyDescent="0.2">
      <c r="A61" s="123" t="str">
        <f>IF(Contents!$A$1=2,"Volga region","Поволжье")</f>
        <v>Поволжье</v>
      </c>
      <c r="B61" s="278" t="str">
        <f>IF(Contents!$A$1=2,"th. boe per day","тыс. барр. н. э./сут")</f>
        <v>тыс. барр. н. э./сут</v>
      </c>
      <c r="C61" s="16"/>
      <c r="D61" s="416">
        <v>6</v>
      </c>
      <c r="E61" s="416"/>
      <c r="F61" s="416">
        <v>7</v>
      </c>
      <c r="G61" s="416">
        <v>6</v>
      </c>
      <c r="H61" s="416">
        <v>6</v>
      </c>
      <c r="I61" s="416">
        <v>6</v>
      </c>
      <c r="J61" s="416">
        <v>6</v>
      </c>
      <c r="K61" s="416"/>
      <c r="L61" s="416">
        <v>22</v>
      </c>
      <c r="M61" s="416">
        <v>27</v>
      </c>
      <c r="N61" s="416">
        <v>30</v>
      </c>
      <c r="O61" s="416">
        <v>33.311365956657603</v>
      </c>
      <c r="P61" s="416">
        <v>28</v>
      </c>
      <c r="Q61" s="416"/>
      <c r="R61" s="416">
        <v>19</v>
      </c>
      <c r="S61" s="416">
        <v>23</v>
      </c>
      <c r="T61" s="416">
        <v>22</v>
      </c>
      <c r="U61" s="416">
        <v>26</v>
      </c>
      <c r="V61" s="416">
        <v>23</v>
      </c>
      <c r="W61" s="416"/>
      <c r="X61" s="416">
        <v>26</v>
      </c>
      <c r="Y61" s="416">
        <v>27</v>
      </c>
      <c r="Z61" s="416">
        <v>27</v>
      </c>
      <c r="AA61" s="416">
        <v>28</v>
      </c>
      <c r="AB61" s="416">
        <v>27</v>
      </c>
      <c r="AC61" s="416"/>
      <c r="AD61" s="416">
        <v>28</v>
      </c>
      <c r="AE61" s="416">
        <v>29</v>
      </c>
      <c r="AF61" s="416">
        <v>23</v>
      </c>
      <c r="AG61" s="416">
        <v>31</v>
      </c>
      <c r="AH61" s="416">
        <v>28</v>
      </c>
      <c r="AI61" s="416"/>
      <c r="AJ61" s="416">
        <v>27</v>
      </c>
      <c r="AK61" s="416">
        <v>25</v>
      </c>
      <c r="AL61" s="416">
        <v>25</v>
      </c>
      <c r="AM61" s="416">
        <v>25</v>
      </c>
      <c r="AN61" s="416">
        <v>26</v>
      </c>
      <c r="AO61" s="416"/>
      <c r="AP61" s="416">
        <v>27</v>
      </c>
      <c r="AQ61" s="416">
        <v>24</v>
      </c>
      <c r="AR61" s="416">
        <v>26</v>
      </c>
      <c r="AS61" s="416">
        <v>24</v>
      </c>
      <c r="AT61" s="416">
        <v>25</v>
      </c>
    </row>
    <row r="62" spans="1:47" s="206" customFormat="1" ht="15" customHeight="1" x14ac:dyDescent="0.2">
      <c r="A62" s="123" t="str">
        <f>IF(Contents!$A$1=2,"Other in Russia","Прочие регионы России")</f>
        <v>Прочие регионы России</v>
      </c>
      <c r="B62" s="278" t="str">
        <f>IF(Contents!$A$1=2,"th. boe per day","тыс. барр. н. э./сут")</f>
        <v>тыс. барр. н. э./сут</v>
      </c>
      <c r="C62" s="16"/>
      <c r="D62" s="416">
        <v>0</v>
      </c>
      <c r="E62" s="416"/>
      <c r="F62" s="416">
        <v>0</v>
      </c>
      <c r="G62" s="416">
        <v>0</v>
      </c>
      <c r="H62" s="416">
        <v>0</v>
      </c>
      <c r="I62" s="416">
        <v>0</v>
      </c>
      <c r="J62" s="416">
        <v>0</v>
      </c>
      <c r="K62" s="416"/>
      <c r="L62" s="416">
        <v>1</v>
      </c>
      <c r="M62" s="416">
        <v>1</v>
      </c>
      <c r="N62" s="416">
        <v>1</v>
      </c>
      <c r="O62" s="416">
        <v>0.50904158336701144</v>
      </c>
      <c r="P62" s="416">
        <v>1</v>
      </c>
      <c r="Q62" s="416"/>
      <c r="R62" s="416">
        <v>1</v>
      </c>
      <c r="S62" s="416">
        <v>1</v>
      </c>
      <c r="T62" s="416">
        <v>1</v>
      </c>
      <c r="U62" s="416">
        <v>1</v>
      </c>
      <c r="V62" s="416">
        <v>1</v>
      </c>
      <c r="W62" s="416"/>
      <c r="X62" s="416">
        <v>1</v>
      </c>
      <c r="Y62" s="416">
        <v>1</v>
      </c>
      <c r="Z62" s="416">
        <v>1</v>
      </c>
      <c r="AA62" s="416">
        <v>0</v>
      </c>
      <c r="AB62" s="416">
        <v>1</v>
      </c>
      <c r="AC62" s="416"/>
      <c r="AD62" s="416">
        <v>0</v>
      </c>
      <c r="AE62" s="416">
        <v>0</v>
      </c>
      <c r="AF62" s="416">
        <v>0</v>
      </c>
      <c r="AG62" s="416">
        <v>0</v>
      </c>
      <c r="AH62" s="497">
        <v>1</v>
      </c>
      <c r="AI62" s="497"/>
      <c r="AJ62" s="416">
        <v>0</v>
      </c>
      <c r="AK62" s="416">
        <v>0</v>
      </c>
      <c r="AL62" s="416">
        <v>0</v>
      </c>
      <c r="AM62" s="416">
        <v>0</v>
      </c>
      <c r="AN62" s="416">
        <v>0</v>
      </c>
      <c r="AO62" s="416"/>
      <c r="AP62" s="416">
        <v>0</v>
      </c>
      <c r="AQ62" s="416">
        <v>0</v>
      </c>
      <c r="AR62" s="416">
        <v>0</v>
      </c>
      <c r="AS62" s="416">
        <v>0</v>
      </c>
      <c r="AT62" s="416">
        <v>0</v>
      </c>
    </row>
    <row r="63" spans="1:47" s="206" customFormat="1" ht="15" customHeight="1" x14ac:dyDescent="0.2">
      <c r="A63" s="121" t="str">
        <f>IF(Contents!$A$1=2,"Total outside Russia","Добыча за рубежом")</f>
        <v>Добыча за рубежом</v>
      </c>
      <c r="B63" s="278" t="str">
        <f>IF(Contents!$A$1=2,"th. boe per day","тыс. барр. н. э./сут")</f>
        <v>тыс. барр. н. э./сут</v>
      </c>
      <c r="C63" s="16"/>
      <c r="D63" s="416">
        <v>85</v>
      </c>
      <c r="E63" s="416"/>
      <c r="F63" s="416">
        <v>101</v>
      </c>
      <c r="G63" s="416">
        <v>101</v>
      </c>
      <c r="H63" s="416">
        <v>93</v>
      </c>
      <c r="I63" s="416">
        <v>121</v>
      </c>
      <c r="J63" s="416">
        <v>104</v>
      </c>
      <c r="K63" s="416"/>
      <c r="L63" s="416">
        <v>131</v>
      </c>
      <c r="M63" s="416">
        <v>118</v>
      </c>
      <c r="N63" s="416">
        <v>114</v>
      </c>
      <c r="O63" s="416">
        <v>128.48109825700888</v>
      </c>
      <c r="P63" s="416">
        <v>123</v>
      </c>
      <c r="Q63" s="416"/>
      <c r="R63" s="416">
        <v>126</v>
      </c>
      <c r="S63" s="416">
        <v>136</v>
      </c>
      <c r="T63" s="416">
        <v>156</v>
      </c>
      <c r="U63" s="416">
        <v>218</v>
      </c>
      <c r="V63" s="416">
        <v>159</v>
      </c>
      <c r="W63" s="416"/>
      <c r="X63" s="416">
        <v>219</v>
      </c>
      <c r="Y63" s="416">
        <v>226</v>
      </c>
      <c r="Z63" s="416">
        <v>251</v>
      </c>
      <c r="AA63" s="416">
        <v>278</v>
      </c>
      <c r="AB63" s="416">
        <v>243</v>
      </c>
      <c r="AC63" s="416"/>
      <c r="AD63" s="416">
        <v>288</v>
      </c>
      <c r="AE63" s="416">
        <v>244</v>
      </c>
      <c r="AF63" s="416">
        <v>242</v>
      </c>
      <c r="AG63" s="416">
        <v>297</v>
      </c>
      <c r="AH63" s="416">
        <v>268</v>
      </c>
      <c r="AI63" s="416"/>
      <c r="AJ63" s="416">
        <v>232</v>
      </c>
      <c r="AK63" s="416">
        <v>125</v>
      </c>
      <c r="AL63" s="416">
        <v>98</v>
      </c>
      <c r="AM63" s="416">
        <v>241</v>
      </c>
      <c r="AN63" s="416">
        <v>174</v>
      </c>
      <c r="AO63" s="416"/>
      <c r="AP63" s="416">
        <v>287</v>
      </c>
      <c r="AQ63" s="416">
        <v>189</v>
      </c>
      <c r="AR63" s="416">
        <v>234</v>
      </c>
      <c r="AS63" s="416">
        <v>287</v>
      </c>
      <c r="AT63" s="416">
        <v>249</v>
      </c>
    </row>
    <row r="64" spans="1:47" s="206" customFormat="1" ht="15" customHeight="1" x14ac:dyDescent="0.2">
      <c r="A64" s="123" t="str">
        <f>IF(Contents!$A$1=2,"Uzbekistan","Узбекистан")</f>
        <v>Узбекистан</v>
      </c>
      <c r="B64" s="278" t="str">
        <f>IF(Contents!$A$1=2,"th. boe per day","тыс. барр. н. э./сут")</f>
        <v>тыс. барр. н. э./сут</v>
      </c>
      <c r="C64" s="16"/>
      <c r="D64" s="416">
        <v>0</v>
      </c>
      <c r="E64" s="416"/>
      <c r="F64" s="416">
        <v>0</v>
      </c>
      <c r="G64" s="416">
        <v>0</v>
      </c>
      <c r="H64" s="416">
        <v>0</v>
      </c>
      <c r="I64" s="416">
        <v>0</v>
      </c>
      <c r="J64" s="416">
        <v>0</v>
      </c>
      <c r="K64" s="416"/>
      <c r="L64" s="416">
        <v>0</v>
      </c>
      <c r="M64" s="416">
        <v>0</v>
      </c>
      <c r="N64" s="416">
        <v>0</v>
      </c>
      <c r="O64" s="416">
        <v>0</v>
      </c>
      <c r="P64" s="416">
        <v>0</v>
      </c>
      <c r="Q64" s="416"/>
      <c r="R64" s="416">
        <v>0</v>
      </c>
      <c r="S64" s="416">
        <v>0</v>
      </c>
      <c r="T64" s="416">
        <v>0</v>
      </c>
      <c r="U64" s="416">
        <v>0</v>
      </c>
      <c r="V64" s="416">
        <v>0</v>
      </c>
      <c r="W64" s="416"/>
      <c r="X64" s="416">
        <v>0</v>
      </c>
      <c r="Y64" s="416">
        <v>0</v>
      </c>
      <c r="Z64" s="416">
        <v>0</v>
      </c>
      <c r="AA64" s="416">
        <v>0</v>
      </c>
      <c r="AB64" s="416">
        <v>216</v>
      </c>
      <c r="AC64" s="416"/>
      <c r="AD64" s="416">
        <v>250</v>
      </c>
      <c r="AE64" s="416">
        <v>207</v>
      </c>
      <c r="AF64" s="416">
        <v>206</v>
      </c>
      <c r="AG64" s="416">
        <v>248</v>
      </c>
      <c r="AH64" s="416">
        <v>228</v>
      </c>
      <c r="AI64" s="416"/>
      <c r="AJ64" s="416">
        <v>184</v>
      </c>
      <c r="AK64" s="416">
        <v>78</v>
      </c>
      <c r="AL64" s="416">
        <v>58</v>
      </c>
      <c r="AM64" s="416">
        <v>191</v>
      </c>
      <c r="AN64" s="416">
        <v>128</v>
      </c>
      <c r="AO64" s="416"/>
      <c r="AP64" s="416">
        <v>236</v>
      </c>
      <c r="AQ64" s="416">
        <v>143</v>
      </c>
      <c r="AR64" s="416">
        <v>188</v>
      </c>
      <c r="AS64" s="416">
        <v>234</v>
      </c>
      <c r="AT64" s="416">
        <v>200</v>
      </c>
    </row>
    <row r="65" spans="1:47" s="206" customFormat="1" ht="15" customHeight="1" x14ac:dyDescent="0.2">
      <c r="A65" s="122" t="str">
        <f>IF(Contents!$A$1=2,"Other outside Russia","Прочие регионы за рубежом")</f>
        <v>Прочие регионы за рубежом</v>
      </c>
      <c r="B65" s="278" t="str">
        <f>IF(Contents!$A$1=2,"th. boe per day","тыс. барр. н. э./сут")</f>
        <v>тыс. барр. н. э./сут</v>
      </c>
      <c r="C65" s="16"/>
      <c r="D65" s="416">
        <v>0</v>
      </c>
      <c r="E65" s="416"/>
      <c r="F65" s="416">
        <v>0</v>
      </c>
      <c r="G65" s="416">
        <v>0</v>
      </c>
      <c r="H65" s="416">
        <v>0</v>
      </c>
      <c r="I65" s="416">
        <v>0</v>
      </c>
      <c r="J65" s="416">
        <v>0</v>
      </c>
      <c r="K65" s="416"/>
      <c r="L65" s="416">
        <v>0</v>
      </c>
      <c r="M65" s="416">
        <v>0</v>
      </c>
      <c r="N65" s="416">
        <v>0</v>
      </c>
      <c r="O65" s="416">
        <v>0</v>
      </c>
      <c r="P65" s="416">
        <v>0</v>
      </c>
      <c r="Q65" s="416"/>
      <c r="R65" s="416">
        <v>0</v>
      </c>
      <c r="S65" s="416">
        <v>0</v>
      </c>
      <c r="T65" s="416">
        <v>0</v>
      </c>
      <c r="U65" s="416">
        <v>0</v>
      </c>
      <c r="V65" s="416">
        <v>0</v>
      </c>
      <c r="W65" s="416"/>
      <c r="X65" s="416">
        <v>0</v>
      </c>
      <c r="Y65" s="416">
        <v>0</v>
      </c>
      <c r="Z65" s="416">
        <v>0</v>
      </c>
      <c r="AA65" s="416">
        <v>0</v>
      </c>
      <c r="AB65" s="416">
        <v>27</v>
      </c>
      <c r="AC65" s="416"/>
      <c r="AD65" s="416">
        <v>38</v>
      </c>
      <c r="AE65" s="416">
        <v>37</v>
      </c>
      <c r="AF65" s="416">
        <v>36</v>
      </c>
      <c r="AG65" s="416">
        <v>49</v>
      </c>
      <c r="AH65" s="416">
        <v>40</v>
      </c>
      <c r="AI65" s="416"/>
      <c r="AJ65" s="416">
        <v>48</v>
      </c>
      <c r="AK65" s="416">
        <v>47</v>
      </c>
      <c r="AL65" s="416">
        <v>40</v>
      </c>
      <c r="AM65" s="416">
        <v>50</v>
      </c>
      <c r="AN65" s="416">
        <v>46</v>
      </c>
      <c r="AO65" s="416"/>
      <c r="AP65" s="416">
        <v>51</v>
      </c>
      <c r="AQ65" s="416">
        <v>46</v>
      </c>
      <c r="AR65" s="416">
        <v>46</v>
      </c>
      <c r="AS65" s="416">
        <v>53</v>
      </c>
      <c r="AT65" s="416">
        <v>49</v>
      </c>
    </row>
    <row r="66" spans="1:47" s="206" customFormat="1" ht="15" customHeight="1" x14ac:dyDescent="0.2">
      <c r="A66" s="234" t="str">
        <f>IF(Contents!$A$1=2,"Total share in production of associates","Итого доля в добыче ассоциированных компаний")</f>
        <v>Итого доля в добыче ассоциированных компаний</v>
      </c>
      <c r="B66" s="282" t="str">
        <f>IF(Contents!$A$1=2,"th. boe per day","тыс. барр. н. э./сут")</f>
        <v>тыс. барр. н. э./сут</v>
      </c>
      <c r="C66" s="16"/>
      <c r="D66" s="494">
        <v>11</v>
      </c>
      <c r="E66" s="493"/>
      <c r="F66" s="494">
        <v>11</v>
      </c>
      <c r="G66" s="494">
        <v>11</v>
      </c>
      <c r="H66" s="494">
        <v>9</v>
      </c>
      <c r="I66" s="494">
        <v>8</v>
      </c>
      <c r="J66" s="495">
        <v>11</v>
      </c>
      <c r="K66" s="493"/>
      <c r="L66" s="494">
        <v>14</v>
      </c>
      <c r="M66" s="494">
        <v>15</v>
      </c>
      <c r="N66" s="494">
        <v>12</v>
      </c>
      <c r="O66" s="494">
        <v>15.156045433248648</v>
      </c>
      <c r="P66" s="495">
        <v>14</v>
      </c>
      <c r="Q66" s="496"/>
      <c r="R66" s="494">
        <v>14</v>
      </c>
      <c r="S66" s="494">
        <v>15</v>
      </c>
      <c r="T66" s="494">
        <v>14</v>
      </c>
      <c r="U66" s="494">
        <v>15</v>
      </c>
      <c r="V66" s="495">
        <v>14</v>
      </c>
      <c r="W66" s="496"/>
      <c r="X66" s="494">
        <v>12</v>
      </c>
      <c r="Y66" s="494">
        <v>13</v>
      </c>
      <c r="Z66" s="494">
        <v>11</v>
      </c>
      <c r="AA66" s="494">
        <v>12</v>
      </c>
      <c r="AB66" s="494">
        <v>12</v>
      </c>
      <c r="AC66" s="496"/>
      <c r="AD66" s="494">
        <v>12</v>
      </c>
      <c r="AE66" s="494">
        <v>12</v>
      </c>
      <c r="AF66" s="494">
        <v>11</v>
      </c>
      <c r="AG66" s="494">
        <v>12</v>
      </c>
      <c r="AH66" s="494">
        <v>11</v>
      </c>
      <c r="AI66" s="493"/>
      <c r="AJ66" s="494">
        <v>12</v>
      </c>
      <c r="AK66" s="494">
        <v>12</v>
      </c>
      <c r="AL66" s="494">
        <v>11</v>
      </c>
      <c r="AM66" s="494">
        <v>12</v>
      </c>
      <c r="AN66" s="494">
        <v>11</v>
      </c>
      <c r="AO66" s="493"/>
      <c r="AP66" s="494">
        <v>11</v>
      </c>
      <c r="AQ66" s="494">
        <v>12</v>
      </c>
      <c r="AR66" s="494">
        <v>9</v>
      </c>
      <c r="AS66" s="494">
        <v>12</v>
      </c>
      <c r="AT66" s="494">
        <v>12</v>
      </c>
    </row>
    <row r="67" spans="1:47" s="206" customFormat="1" ht="15" customHeight="1" x14ac:dyDescent="0.2">
      <c r="A67" s="123" t="str">
        <f>IF(Contents!$A$1=2,"in Russia","в России")</f>
        <v>в России</v>
      </c>
      <c r="B67" s="278" t="str">
        <f>IF(Contents!$A$1=2,"th. boe per day","тыс. барр. н. э./сут")</f>
        <v>тыс. барр. н. э./сут</v>
      </c>
      <c r="C67" s="16"/>
      <c r="D67" s="416">
        <v>1</v>
      </c>
      <c r="E67" s="416"/>
      <c r="F67" s="416">
        <v>1</v>
      </c>
      <c r="G67" s="416">
        <v>1</v>
      </c>
      <c r="H67" s="416">
        <v>1</v>
      </c>
      <c r="I67" s="416">
        <v>1</v>
      </c>
      <c r="J67" s="416">
        <v>1</v>
      </c>
      <c r="K67" s="416"/>
      <c r="L67" s="416">
        <v>1</v>
      </c>
      <c r="M67" s="416">
        <v>2</v>
      </c>
      <c r="N67" s="416">
        <v>1</v>
      </c>
      <c r="O67" s="416">
        <v>1.6538379601446318</v>
      </c>
      <c r="P67" s="416">
        <v>2</v>
      </c>
      <c r="Q67" s="416"/>
      <c r="R67" s="416">
        <v>2</v>
      </c>
      <c r="S67" s="416">
        <v>2</v>
      </c>
      <c r="T67" s="416">
        <v>2</v>
      </c>
      <c r="U67" s="416">
        <v>2</v>
      </c>
      <c r="V67" s="416">
        <v>2</v>
      </c>
      <c r="W67" s="416"/>
      <c r="X67" s="416">
        <v>2</v>
      </c>
      <c r="Y67" s="416">
        <v>1</v>
      </c>
      <c r="Z67" s="416">
        <v>2</v>
      </c>
      <c r="AA67" s="416">
        <v>2</v>
      </c>
      <c r="AB67" s="416">
        <v>2</v>
      </c>
      <c r="AC67" s="416"/>
      <c r="AD67" s="416">
        <v>1</v>
      </c>
      <c r="AE67" s="416">
        <v>2</v>
      </c>
      <c r="AF67" s="416">
        <v>1</v>
      </c>
      <c r="AG67" s="416">
        <v>1</v>
      </c>
      <c r="AH67" s="416">
        <v>1</v>
      </c>
      <c r="AI67" s="416"/>
      <c r="AJ67" s="416">
        <v>1</v>
      </c>
      <c r="AK67" s="416">
        <v>1</v>
      </c>
      <c r="AL67" s="416">
        <v>2</v>
      </c>
      <c r="AM67" s="416">
        <v>2</v>
      </c>
      <c r="AN67" s="416">
        <v>1</v>
      </c>
      <c r="AO67" s="416"/>
      <c r="AP67" s="416">
        <v>2</v>
      </c>
      <c r="AQ67" s="416">
        <v>2</v>
      </c>
      <c r="AR67" s="416">
        <v>1</v>
      </c>
      <c r="AS67" s="416">
        <v>1</v>
      </c>
      <c r="AT67" s="416">
        <v>2</v>
      </c>
    </row>
    <row r="68" spans="1:47" s="206" customFormat="1" ht="15" customHeight="1" x14ac:dyDescent="0.2">
      <c r="A68" s="122" t="str">
        <f>IF(Contents!$A$1=2,"outside Russia","за рубежом")</f>
        <v>за рубежом</v>
      </c>
      <c r="B68" s="277" t="str">
        <f>IF(Contents!$A$1=2,"th. boe per day","тыс. барр. н. э./сут")</f>
        <v>тыс. барр. н. э./сут</v>
      </c>
      <c r="C68" s="79"/>
      <c r="D68" s="500">
        <v>10</v>
      </c>
      <c r="E68" s="500"/>
      <c r="F68" s="500">
        <v>10</v>
      </c>
      <c r="G68" s="500">
        <v>10</v>
      </c>
      <c r="H68" s="500">
        <v>8</v>
      </c>
      <c r="I68" s="500">
        <v>7</v>
      </c>
      <c r="J68" s="500">
        <v>10</v>
      </c>
      <c r="K68" s="500"/>
      <c r="L68" s="500">
        <v>13</v>
      </c>
      <c r="M68" s="500">
        <v>13</v>
      </c>
      <c r="N68" s="500">
        <v>11</v>
      </c>
      <c r="O68" s="500">
        <v>13.502207473104017</v>
      </c>
      <c r="P68" s="500">
        <v>12</v>
      </c>
      <c r="Q68" s="500"/>
      <c r="R68" s="500">
        <v>12</v>
      </c>
      <c r="S68" s="500">
        <v>13</v>
      </c>
      <c r="T68" s="500">
        <v>12</v>
      </c>
      <c r="U68" s="500">
        <v>13</v>
      </c>
      <c r="V68" s="500">
        <v>12</v>
      </c>
      <c r="W68" s="500"/>
      <c r="X68" s="500">
        <v>10</v>
      </c>
      <c r="Y68" s="500">
        <v>12</v>
      </c>
      <c r="Z68" s="500">
        <v>9</v>
      </c>
      <c r="AA68" s="500">
        <v>10</v>
      </c>
      <c r="AB68" s="500">
        <v>10</v>
      </c>
      <c r="AC68" s="500"/>
      <c r="AD68" s="500">
        <v>11</v>
      </c>
      <c r="AE68" s="500">
        <v>10</v>
      </c>
      <c r="AF68" s="500">
        <v>10</v>
      </c>
      <c r="AG68" s="500">
        <v>11</v>
      </c>
      <c r="AH68" s="500">
        <v>10</v>
      </c>
      <c r="AI68" s="500"/>
      <c r="AJ68" s="500">
        <v>11</v>
      </c>
      <c r="AK68" s="500">
        <v>11</v>
      </c>
      <c r="AL68" s="500">
        <v>9</v>
      </c>
      <c r="AM68" s="500">
        <v>10</v>
      </c>
      <c r="AN68" s="500">
        <v>10</v>
      </c>
      <c r="AO68" s="500"/>
      <c r="AP68" s="500">
        <v>9</v>
      </c>
      <c r="AQ68" s="500">
        <v>10</v>
      </c>
      <c r="AR68" s="500">
        <v>8</v>
      </c>
      <c r="AS68" s="500">
        <v>11</v>
      </c>
      <c r="AT68" s="500">
        <v>10</v>
      </c>
    </row>
    <row r="69" spans="1:47" s="2" customFormat="1" ht="15" customHeight="1" x14ac:dyDescent="0.2">
      <c r="A69" s="61" t="str">
        <f>IF(Contents!$A$1=2,"¹ Since 2016 natural and petroleum gas production less flaring, reinjection, and gas processed into natural gas liquids at gas processing plants. In 2014- 2015 gas available for sale","¹ С 2016 г. природный и нефтяной газ до факела, обратной закачки и газа, направленного на выработку жидких углеводородов на ГПЗ. В 2014-2015 гг. товарный газ.")</f>
        <v>¹ С 2016 г. природный и нефтяной газ до факела, обратной закачки и газа, направленного на выработку жидких углеводородов на ГПЗ. В 2014-2015 гг. товарный газ.</v>
      </c>
      <c r="B69" s="33"/>
      <c r="C69" s="7"/>
      <c r="D69" s="200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221"/>
      <c r="AU69" s="221"/>
    </row>
    <row r="70" spans="1:47" s="2" customFormat="1" ht="15" customHeight="1" x14ac:dyDescent="0.2">
      <c r="A70" s="61"/>
      <c r="B70" s="33"/>
      <c r="C70" s="7"/>
      <c r="D70" s="200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221"/>
      <c r="AU70" s="221"/>
    </row>
    <row r="71" spans="1:47" s="2" customFormat="1" ht="15" customHeight="1" x14ac:dyDescent="0.2">
      <c r="A71" s="61"/>
      <c r="B71" s="33"/>
      <c r="C71" s="7"/>
      <c r="D71" s="200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221"/>
      <c r="AU71" s="221"/>
    </row>
    <row r="72" spans="1:47" s="1" customFormat="1" ht="15" customHeight="1" x14ac:dyDescent="0.2">
      <c r="A72" s="75"/>
      <c r="B72" s="134"/>
      <c r="C72" s="16"/>
      <c r="D72" s="317">
        <v>2014</v>
      </c>
      <c r="E72" s="324"/>
      <c r="F72" s="325" t="str">
        <f>IF(Contents!$A$1=2,"1Q","1 кв")</f>
        <v>1 кв</v>
      </c>
      <c r="G72" s="325" t="str">
        <f>IF(Contents!$A$1=2,"2Q","2 кв")</f>
        <v>2 кв</v>
      </c>
      <c r="H72" s="325" t="str">
        <f>IF(Contents!$A$1=2,"3Q","3 кв")</f>
        <v>3 кв</v>
      </c>
      <c r="I72" s="325" t="str">
        <f>IF(Contents!$A$1=2,"4Q","4 кв")</f>
        <v>4 кв</v>
      </c>
      <c r="J72" s="317">
        <v>2015</v>
      </c>
      <c r="K72" s="330"/>
      <c r="L72" s="325" t="str">
        <f>IF(Contents!$A$1=2,"1Q","1 кв")</f>
        <v>1 кв</v>
      </c>
      <c r="M72" s="325" t="str">
        <f>IF(Contents!$A$1=2,"2Q","2 кв")</f>
        <v>2 кв</v>
      </c>
      <c r="N72" s="325" t="str">
        <f>IF(Contents!$A$1=2,"3Q","3 кв")</f>
        <v>3 кв</v>
      </c>
      <c r="O72" s="325" t="str">
        <f>IF(Contents!$A$1=2,"4Q","4 кв")</f>
        <v>4 кв</v>
      </c>
      <c r="P72" s="329">
        <v>2016</v>
      </c>
      <c r="Q72" s="330"/>
      <c r="R72" s="325" t="str">
        <f>IF(Contents!$A$1=2,"1Q","1 кв")</f>
        <v>1 кв</v>
      </c>
      <c r="S72" s="325" t="str">
        <f>IF(Contents!$A$1=2,"2Q","2 кв")</f>
        <v>2 кв</v>
      </c>
      <c r="T72" s="325" t="str">
        <f>IF(Contents!$A$1=2,"3Q","3 кв")</f>
        <v>3 кв</v>
      </c>
      <c r="U72" s="325" t="str">
        <f>IF(Contents!$A$1=2,"4Q","4 кв")</f>
        <v>4 кв</v>
      </c>
      <c r="V72" s="317">
        <v>2017</v>
      </c>
      <c r="W72" s="324"/>
      <c r="X72" s="325" t="str">
        <f>IF(Contents!$A$1=2,"1Q","1 кв")</f>
        <v>1 кв</v>
      </c>
      <c r="Y72" s="325" t="str">
        <f>IF(Contents!$A$1=2,"2Q","2 кв")</f>
        <v>2 кв</v>
      </c>
      <c r="Z72" s="325" t="str">
        <f>IF(Contents!$A$1=2,"3Q","3 кв")</f>
        <v>3 кв</v>
      </c>
      <c r="AA72" s="325" t="str">
        <f>IF(Contents!$A$1=2,"4Q","4 кв")</f>
        <v>4 кв</v>
      </c>
      <c r="AB72" s="317">
        <v>2018</v>
      </c>
      <c r="AC72" s="324"/>
      <c r="AD72" s="325" t="str">
        <f>IF(Contents!$A$1=2,"1Q","1 кв")</f>
        <v>1 кв</v>
      </c>
      <c r="AE72" s="325" t="str">
        <f>IF(Contents!$A$1=2,"2Q","2 кв")</f>
        <v>2 кв</v>
      </c>
      <c r="AF72" s="325" t="str">
        <f>IF(Contents!$A$1=2,"3Q","3 кв")</f>
        <v>3 кв</v>
      </c>
      <c r="AG72" s="325" t="str">
        <f>IF(Contents!$A$1=2,"4Q","4 кв")</f>
        <v>4 кв</v>
      </c>
      <c r="AH72" s="317">
        <v>2019</v>
      </c>
      <c r="AI72" s="324"/>
      <c r="AJ72" s="325" t="str">
        <f>IF(Contents!$A$1=2,"1Q","1 кв")</f>
        <v>1 кв</v>
      </c>
      <c r="AK72" s="325" t="str">
        <f>IF(Contents!$A$1=2,"2Q","2 кв")</f>
        <v>2 кв</v>
      </c>
      <c r="AL72" s="325" t="str">
        <f>IF(Contents!$A$1=2,"3Q","3 кв")</f>
        <v>3 кв</v>
      </c>
      <c r="AM72" s="325" t="str">
        <f>IF(Contents!$A$1=2,"4Q","4 кв")</f>
        <v>4 кв</v>
      </c>
      <c r="AN72" s="317">
        <v>2020</v>
      </c>
      <c r="AO72" s="324"/>
      <c r="AP72" s="325" t="str">
        <f>IF(Contents!$A$1=2,"1Q","1 кв")</f>
        <v>1 кв</v>
      </c>
      <c r="AQ72" s="325" t="str">
        <f>IF(Contents!$A$1=2,"2Q","2 кв")</f>
        <v>2 кв</v>
      </c>
      <c r="AR72" s="325" t="str">
        <f>IF(Contents!$A$1=2,"3Q","3 кв")</f>
        <v>3 кв</v>
      </c>
      <c r="AS72" s="325" t="str">
        <f>IF(Contents!$A$1=2,"4Q","4 кв")</f>
        <v>4 кв</v>
      </c>
      <c r="AT72" s="317">
        <v>2021</v>
      </c>
      <c r="AU72" s="222"/>
    </row>
    <row r="73" spans="1:47" s="1" customFormat="1" ht="15" customHeight="1" x14ac:dyDescent="0.2">
      <c r="A73" s="143" t="str">
        <f>IF(Contents!$A$1=2,"Total gas produced","Итого добыча газа")</f>
        <v>Итого добыча газа</v>
      </c>
      <c r="B73" s="282" t="str">
        <f>IF(Contents!$A$1=2,"mln m³","млн м³")</f>
        <v>млн м³</v>
      </c>
      <c r="C73" s="141"/>
      <c r="D73" s="435">
        <v>19968</v>
      </c>
      <c r="E73" s="436"/>
      <c r="F73" s="435">
        <v>5135</v>
      </c>
      <c r="G73" s="435">
        <v>4979</v>
      </c>
      <c r="H73" s="435">
        <v>4769</v>
      </c>
      <c r="I73" s="435">
        <v>5368</v>
      </c>
      <c r="J73" s="433">
        <v>20251</v>
      </c>
      <c r="K73" s="436"/>
      <c r="L73" s="435">
        <v>6281</v>
      </c>
      <c r="M73" s="435">
        <v>5980</v>
      </c>
      <c r="N73" s="435">
        <v>6122</v>
      </c>
      <c r="O73" s="435">
        <v>6539</v>
      </c>
      <c r="P73" s="433">
        <v>24922</v>
      </c>
      <c r="Q73" s="434"/>
      <c r="R73" s="435">
        <v>6459</v>
      </c>
      <c r="S73" s="435">
        <v>6952</v>
      </c>
      <c r="T73" s="435">
        <v>7257</v>
      </c>
      <c r="U73" s="435">
        <v>8193</v>
      </c>
      <c r="V73" s="435">
        <v>28861</v>
      </c>
      <c r="W73" s="436"/>
      <c r="X73" s="435">
        <v>7999</v>
      </c>
      <c r="Y73" s="435">
        <v>8127</v>
      </c>
      <c r="Z73" s="435">
        <v>8512</v>
      </c>
      <c r="AA73" s="435">
        <v>8905</v>
      </c>
      <c r="AB73" s="435">
        <v>33543</v>
      </c>
      <c r="AC73" s="436"/>
      <c r="AD73" s="435">
        <v>8976</v>
      </c>
      <c r="AE73" s="435">
        <v>8376</v>
      </c>
      <c r="AF73" s="435">
        <v>8262</v>
      </c>
      <c r="AG73" s="435">
        <v>9432</v>
      </c>
      <c r="AH73" s="435">
        <v>35046</v>
      </c>
      <c r="AI73" s="436"/>
      <c r="AJ73" s="435">
        <v>8412</v>
      </c>
      <c r="AK73" s="435">
        <v>6399</v>
      </c>
      <c r="AL73" s="435">
        <v>5969</v>
      </c>
      <c r="AM73" s="435">
        <v>8225</v>
      </c>
      <c r="AN73" s="435">
        <v>29005</v>
      </c>
      <c r="AO73" s="436"/>
      <c r="AP73" s="435">
        <v>8789</v>
      </c>
      <c r="AQ73" s="435">
        <v>7062</v>
      </c>
      <c r="AR73" s="435">
        <v>7666</v>
      </c>
      <c r="AS73" s="435">
        <v>8659</v>
      </c>
      <c r="AT73" s="435">
        <v>32176</v>
      </c>
    </row>
    <row r="74" spans="1:47" s="1" customFormat="1" ht="15" customHeight="1" x14ac:dyDescent="0.2">
      <c r="A74" s="234" t="str">
        <f>IF(Contents!$A$1=2,"Total gas produced by consolidated subsidiaries","Итого добыча дочерними компаниями Группы")</f>
        <v>Итого добыча дочерними компаниями Группы</v>
      </c>
      <c r="B74" s="282" t="str">
        <f>IF(Contents!$A$1=2,"mln m³","млн м³")</f>
        <v>млн м³</v>
      </c>
      <c r="C74" s="141"/>
      <c r="D74" s="435">
        <v>19295</v>
      </c>
      <c r="E74" s="436"/>
      <c r="F74" s="435">
        <v>4961</v>
      </c>
      <c r="G74" s="435">
        <v>4810</v>
      </c>
      <c r="H74" s="435">
        <v>4634</v>
      </c>
      <c r="I74" s="435">
        <v>5235</v>
      </c>
      <c r="J74" s="433">
        <v>19640</v>
      </c>
      <c r="K74" s="436"/>
      <c r="L74" s="435">
        <v>6067</v>
      </c>
      <c r="M74" s="435">
        <v>5754</v>
      </c>
      <c r="N74" s="435">
        <v>5938</v>
      </c>
      <c r="O74" s="435">
        <v>6302</v>
      </c>
      <c r="P74" s="433">
        <v>24061</v>
      </c>
      <c r="Q74" s="434"/>
      <c r="R74" s="435">
        <v>6231</v>
      </c>
      <c r="S74" s="435">
        <v>6724</v>
      </c>
      <c r="T74" s="435">
        <v>7041</v>
      </c>
      <c r="U74" s="435">
        <v>7969</v>
      </c>
      <c r="V74" s="435">
        <v>27965</v>
      </c>
      <c r="W74" s="436"/>
      <c r="X74" s="435">
        <v>7816</v>
      </c>
      <c r="Y74" s="435">
        <v>7924</v>
      </c>
      <c r="Z74" s="435">
        <v>8342</v>
      </c>
      <c r="AA74" s="435">
        <v>8726</v>
      </c>
      <c r="AB74" s="435">
        <v>32808</v>
      </c>
      <c r="AC74" s="436"/>
      <c r="AD74" s="435">
        <v>8792</v>
      </c>
      <c r="AE74" s="435">
        <v>8192</v>
      </c>
      <c r="AF74" s="435">
        <v>8091</v>
      </c>
      <c r="AG74" s="435">
        <v>9242</v>
      </c>
      <c r="AH74" s="435">
        <v>34317</v>
      </c>
      <c r="AI74" s="436"/>
      <c r="AJ74" s="435">
        <v>8224</v>
      </c>
      <c r="AK74" s="435">
        <v>6220</v>
      </c>
      <c r="AL74" s="435">
        <v>5799</v>
      </c>
      <c r="AM74" s="435">
        <v>8028</v>
      </c>
      <c r="AN74" s="435">
        <v>28271</v>
      </c>
      <c r="AO74" s="436"/>
      <c r="AP74" s="435">
        <v>8603</v>
      </c>
      <c r="AQ74" s="435">
        <v>6873</v>
      </c>
      <c r="AR74" s="435">
        <v>7515</v>
      </c>
      <c r="AS74" s="435">
        <v>8452</v>
      </c>
      <c r="AT74" s="435">
        <v>31443</v>
      </c>
    </row>
    <row r="75" spans="1:47" s="1" customFormat="1" ht="15" customHeight="1" x14ac:dyDescent="0.2">
      <c r="A75" s="121" t="str">
        <f>IF(Contents!$A$1=2,"Gas produced in Russia","Добыча в России ")</f>
        <v xml:space="preserve">Добыча в России </v>
      </c>
      <c r="B75" s="278" t="str">
        <f>IF(Contents!$A$1=2,"mln m³","млн м³")</f>
        <v>млн м³</v>
      </c>
      <c r="C75" s="79"/>
      <c r="D75" s="439">
        <v>14031</v>
      </c>
      <c r="E75" s="439"/>
      <c r="F75" s="439">
        <v>3419</v>
      </c>
      <c r="G75" s="439">
        <v>3246</v>
      </c>
      <c r="H75" s="439">
        <v>3186</v>
      </c>
      <c r="I75" s="439">
        <v>3339</v>
      </c>
      <c r="J75" s="439">
        <v>13190</v>
      </c>
      <c r="K75" s="439"/>
      <c r="L75" s="439">
        <v>4035</v>
      </c>
      <c r="M75" s="439">
        <v>3922</v>
      </c>
      <c r="N75" s="439">
        <v>4156</v>
      </c>
      <c r="O75" s="439">
        <v>4294</v>
      </c>
      <c r="P75" s="439">
        <v>16407</v>
      </c>
      <c r="Q75" s="439"/>
      <c r="R75" s="439">
        <v>4307</v>
      </c>
      <c r="S75" s="439">
        <v>4621</v>
      </c>
      <c r="T75" s="439">
        <v>4596</v>
      </c>
      <c r="U75" s="439">
        <v>4556</v>
      </c>
      <c r="V75" s="439">
        <v>18080</v>
      </c>
      <c r="W75" s="439"/>
      <c r="X75" s="439">
        <v>4473</v>
      </c>
      <c r="Y75" s="439">
        <v>4431</v>
      </c>
      <c r="Z75" s="439">
        <v>4423</v>
      </c>
      <c r="AA75" s="439">
        <v>4385</v>
      </c>
      <c r="AB75" s="439">
        <v>17712</v>
      </c>
      <c r="AC75" s="439"/>
      <c r="AD75" s="439">
        <v>4386</v>
      </c>
      <c r="AE75" s="439">
        <v>4426</v>
      </c>
      <c r="AF75" s="439">
        <v>4304</v>
      </c>
      <c r="AG75" s="439">
        <v>4593</v>
      </c>
      <c r="AH75" s="439">
        <v>17709</v>
      </c>
      <c r="AI75" s="439"/>
      <c r="AJ75" s="439">
        <v>4643</v>
      </c>
      <c r="AK75" s="439">
        <v>4284</v>
      </c>
      <c r="AL75" s="439">
        <v>4267</v>
      </c>
      <c r="AM75" s="439">
        <v>4269</v>
      </c>
      <c r="AN75" s="439">
        <v>17463</v>
      </c>
      <c r="AO75" s="439"/>
      <c r="AP75" s="437">
        <v>4222</v>
      </c>
      <c r="AQ75" s="437">
        <v>3944</v>
      </c>
      <c r="AR75" s="437">
        <v>3858</v>
      </c>
      <c r="AS75" s="437">
        <v>3946</v>
      </c>
      <c r="AT75" s="437">
        <v>15970</v>
      </c>
    </row>
    <row r="76" spans="1:47" s="1" customFormat="1" ht="15" customHeight="1" x14ac:dyDescent="0.2">
      <c r="A76" s="96" t="str">
        <f>IF(Contents!$A$1=2,"West Siberia","Западная Сибирь")</f>
        <v>Западная Сибирь</v>
      </c>
      <c r="B76" s="286" t="str">
        <f>IF(Contents!$A$1=2,"mln m³","млн м³")</f>
        <v>млн м³</v>
      </c>
      <c r="C76" s="144"/>
      <c r="D76" s="440">
        <v>11596</v>
      </c>
      <c r="E76" s="439"/>
      <c r="F76" s="440">
        <v>2743</v>
      </c>
      <c r="G76" s="440">
        <v>2680</v>
      </c>
      <c r="H76" s="440">
        <v>2649</v>
      </c>
      <c r="I76" s="440">
        <v>2733</v>
      </c>
      <c r="J76" s="440">
        <v>10805</v>
      </c>
      <c r="K76" s="440"/>
      <c r="L76" s="440">
        <v>2930</v>
      </c>
      <c r="M76" s="440">
        <v>2771</v>
      </c>
      <c r="N76" s="440">
        <v>2879</v>
      </c>
      <c r="O76" s="440">
        <v>2942</v>
      </c>
      <c r="P76" s="440">
        <v>11522</v>
      </c>
      <c r="Q76" s="440"/>
      <c r="R76" s="440">
        <v>3193</v>
      </c>
      <c r="S76" s="440">
        <v>3465</v>
      </c>
      <c r="T76" s="440">
        <v>3465</v>
      </c>
      <c r="U76" s="440">
        <v>3356</v>
      </c>
      <c r="V76" s="440">
        <v>13479</v>
      </c>
      <c r="W76" s="440"/>
      <c r="X76" s="440">
        <v>3318</v>
      </c>
      <c r="Y76" s="440">
        <v>3282</v>
      </c>
      <c r="Z76" s="440">
        <v>3221</v>
      </c>
      <c r="AA76" s="440">
        <v>3180</v>
      </c>
      <c r="AB76" s="440">
        <v>13001</v>
      </c>
      <c r="AC76" s="440"/>
      <c r="AD76" s="440">
        <v>3075</v>
      </c>
      <c r="AE76" s="440">
        <v>3145</v>
      </c>
      <c r="AF76" s="440">
        <v>3070</v>
      </c>
      <c r="AG76" s="440">
        <v>3202</v>
      </c>
      <c r="AH76" s="440">
        <v>12492</v>
      </c>
      <c r="AI76" s="440"/>
      <c r="AJ76" s="440">
        <v>3312</v>
      </c>
      <c r="AK76" s="440">
        <v>3124</v>
      </c>
      <c r="AL76" s="440">
        <v>3118</v>
      </c>
      <c r="AM76" s="440">
        <v>3038</v>
      </c>
      <c r="AN76" s="440">
        <v>12592</v>
      </c>
      <c r="AO76" s="440"/>
      <c r="AP76" s="552">
        <v>2958</v>
      </c>
      <c r="AQ76" s="552">
        <v>2774</v>
      </c>
      <c r="AR76" s="552">
        <v>2659</v>
      </c>
      <c r="AS76" s="552">
        <v>2691</v>
      </c>
      <c r="AT76" s="552">
        <v>11082</v>
      </c>
    </row>
    <row r="77" spans="1:47" s="1" customFormat="1" ht="15" customHeight="1" x14ac:dyDescent="0.2">
      <c r="A77" s="122" t="str">
        <f>IF(Contents!$A$1=2,"Timan-Pechora ","Тимано-Печора")</f>
        <v>Тимано-Печора</v>
      </c>
      <c r="B77" s="278" t="str">
        <f>IF(Contents!$A$1=2,"mln m³","млн м³")</f>
        <v>млн м³</v>
      </c>
      <c r="C77" s="141"/>
      <c r="D77" s="439">
        <v>846</v>
      </c>
      <c r="E77" s="439"/>
      <c r="F77" s="439">
        <v>181</v>
      </c>
      <c r="G77" s="439">
        <v>195</v>
      </c>
      <c r="H77" s="439">
        <v>200</v>
      </c>
      <c r="I77" s="439">
        <v>237</v>
      </c>
      <c r="J77" s="439">
        <v>813</v>
      </c>
      <c r="K77" s="439"/>
      <c r="L77" s="439">
        <v>490</v>
      </c>
      <c r="M77" s="439">
        <v>514</v>
      </c>
      <c r="N77" s="439">
        <v>550</v>
      </c>
      <c r="O77" s="439">
        <v>573</v>
      </c>
      <c r="P77" s="439">
        <v>2127</v>
      </c>
      <c r="Q77" s="439"/>
      <c r="R77" s="439">
        <v>551</v>
      </c>
      <c r="S77" s="439">
        <v>544</v>
      </c>
      <c r="T77" s="439">
        <v>533</v>
      </c>
      <c r="U77" s="439">
        <v>538</v>
      </c>
      <c r="V77" s="439">
        <v>2166</v>
      </c>
      <c r="W77" s="439"/>
      <c r="X77" s="439">
        <v>515</v>
      </c>
      <c r="Y77" s="439">
        <v>508</v>
      </c>
      <c r="Z77" s="439">
        <v>519</v>
      </c>
      <c r="AA77" s="439">
        <v>530</v>
      </c>
      <c r="AB77" s="439">
        <v>2072</v>
      </c>
      <c r="AC77" s="439"/>
      <c r="AD77" s="439">
        <v>519</v>
      </c>
      <c r="AE77" s="439">
        <v>503</v>
      </c>
      <c r="AF77" s="439">
        <v>509</v>
      </c>
      <c r="AG77" s="439">
        <v>519</v>
      </c>
      <c r="AH77" s="439">
        <v>2050</v>
      </c>
      <c r="AI77" s="439"/>
      <c r="AJ77" s="439">
        <v>517</v>
      </c>
      <c r="AK77" s="439">
        <v>444</v>
      </c>
      <c r="AL77" s="439">
        <v>415</v>
      </c>
      <c r="AM77" s="439">
        <v>434</v>
      </c>
      <c r="AN77" s="439">
        <v>1810</v>
      </c>
      <c r="AO77" s="439"/>
      <c r="AP77" s="437">
        <v>440</v>
      </c>
      <c r="AQ77" s="437">
        <v>446</v>
      </c>
      <c r="AR77" s="437">
        <v>463</v>
      </c>
      <c r="AS77" s="437">
        <v>477</v>
      </c>
      <c r="AT77" s="437">
        <v>1826</v>
      </c>
    </row>
    <row r="78" spans="1:47" s="1" customFormat="1" ht="15" customHeight="1" x14ac:dyDescent="0.2">
      <c r="A78" s="122" t="str">
        <f>IF(Contents!$A$1=2,"Ural region","Урал")</f>
        <v>Урал</v>
      </c>
      <c r="B78" s="278" t="str">
        <f>IF(Contents!$A$1=2,"mln m³","млн м³")</f>
        <v>млн м³</v>
      </c>
      <c r="C78" s="141"/>
      <c r="D78" s="439">
        <v>1188</v>
      </c>
      <c r="E78" s="439"/>
      <c r="F78" s="439">
        <v>383</v>
      </c>
      <c r="G78" s="439">
        <v>284</v>
      </c>
      <c r="H78" s="439">
        <v>236</v>
      </c>
      <c r="I78" s="439">
        <v>272</v>
      </c>
      <c r="J78" s="439">
        <v>1175</v>
      </c>
      <c r="K78" s="439"/>
      <c r="L78" s="439">
        <v>266</v>
      </c>
      <c r="M78" s="439">
        <v>217</v>
      </c>
      <c r="N78" s="439">
        <v>243</v>
      </c>
      <c r="O78" s="439">
        <v>250</v>
      </c>
      <c r="P78" s="439">
        <v>976</v>
      </c>
      <c r="Q78" s="439"/>
      <c r="R78" s="439">
        <v>258</v>
      </c>
      <c r="S78" s="439">
        <v>240</v>
      </c>
      <c r="T78" s="439">
        <v>240</v>
      </c>
      <c r="U78" s="439">
        <v>240</v>
      </c>
      <c r="V78" s="439">
        <v>978</v>
      </c>
      <c r="W78" s="439"/>
      <c r="X78" s="439">
        <v>229</v>
      </c>
      <c r="Y78" s="439">
        <v>212</v>
      </c>
      <c r="Z78" s="439">
        <v>250</v>
      </c>
      <c r="AA78" s="439">
        <v>232</v>
      </c>
      <c r="AB78" s="439">
        <v>923</v>
      </c>
      <c r="AC78" s="439"/>
      <c r="AD78" s="439">
        <v>362</v>
      </c>
      <c r="AE78" s="439">
        <v>325</v>
      </c>
      <c r="AF78" s="439">
        <v>358</v>
      </c>
      <c r="AG78" s="439">
        <v>387</v>
      </c>
      <c r="AH78" s="439">
        <v>1432</v>
      </c>
      <c r="AI78" s="439"/>
      <c r="AJ78" s="439">
        <v>383</v>
      </c>
      <c r="AK78" s="439">
        <v>325</v>
      </c>
      <c r="AL78" s="439">
        <v>336</v>
      </c>
      <c r="AM78" s="439">
        <v>407</v>
      </c>
      <c r="AN78" s="439">
        <v>1451</v>
      </c>
      <c r="AO78" s="439"/>
      <c r="AP78" s="437">
        <v>415</v>
      </c>
      <c r="AQ78" s="437">
        <v>356</v>
      </c>
      <c r="AR78" s="437">
        <v>331</v>
      </c>
      <c r="AS78" s="437">
        <v>400</v>
      </c>
      <c r="AT78" s="437">
        <v>1502</v>
      </c>
    </row>
    <row r="79" spans="1:47" s="1" customFormat="1" ht="15" customHeight="1" x14ac:dyDescent="0.2">
      <c r="A79" s="123" t="str">
        <f>IF(Contents!$A$1=2,"Volga region","Поволжье")</f>
        <v>Поволжье</v>
      </c>
      <c r="B79" s="277" t="str">
        <f>IF(Contents!$A$1=2,"mln m³","млн м³")</f>
        <v>млн м³</v>
      </c>
      <c r="C79" s="79"/>
      <c r="D79" s="438">
        <v>378</v>
      </c>
      <c r="E79" s="438"/>
      <c r="F79" s="438">
        <v>107</v>
      </c>
      <c r="G79" s="438">
        <v>81</v>
      </c>
      <c r="H79" s="438">
        <v>95</v>
      </c>
      <c r="I79" s="438">
        <v>91</v>
      </c>
      <c r="J79" s="438">
        <v>374</v>
      </c>
      <c r="K79" s="438"/>
      <c r="L79" s="438">
        <v>340</v>
      </c>
      <c r="M79" s="438">
        <v>411</v>
      </c>
      <c r="N79" s="438">
        <v>476</v>
      </c>
      <c r="O79" s="438">
        <v>521</v>
      </c>
      <c r="P79" s="438">
        <v>1748</v>
      </c>
      <c r="Q79" s="438"/>
      <c r="R79" s="438">
        <v>297</v>
      </c>
      <c r="S79" s="438">
        <v>364</v>
      </c>
      <c r="T79" s="438">
        <v>350</v>
      </c>
      <c r="U79" s="438">
        <v>414</v>
      </c>
      <c r="V79" s="438">
        <v>1425</v>
      </c>
      <c r="W79" s="438"/>
      <c r="X79" s="438">
        <v>404</v>
      </c>
      <c r="Y79" s="438">
        <v>423</v>
      </c>
      <c r="Z79" s="438">
        <v>427</v>
      </c>
      <c r="AA79" s="438">
        <v>436</v>
      </c>
      <c r="AB79" s="438">
        <v>1690</v>
      </c>
      <c r="AC79" s="438"/>
      <c r="AD79" s="438">
        <v>423</v>
      </c>
      <c r="AE79" s="438">
        <v>447</v>
      </c>
      <c r="AF79" s="438">
        <v>362</v>
      </c>
      <c r="AG79" s="438">
        <v>479</v>
      </c>
      <c r="AH79" s="438">
        <v>1711</v>
      </c>
      <c r="AI79" s="438"/>
      <c r="AJ79" s="438">
        <v>425</v>
      </c>
      <c r="AK79" s="438">
        <v>386</v>
      </c>
      <c r="AL79" s="438">
        <v>394</v>
      </c>
      <c r="AM79" s="438">
        <v>388</v>
      </c>
      <c r="AN79" s="438">
        <v>1593</v>
      </c>
      <c r="AO79" s="438"/>
      <c r="AP79" s="438">
        <v>406</v>
      </c>
      <c r="AQ79" s="438">
        <v>366</v>
      </c>
      <c r="AR79" s="438">
        <v>402</v>
      </c>
      <c r="AS79" s="438">
        <v>375</v>
      </c>
      <c r="AT79" s="438">
        <v>1549</v>
      </c>
    </row>
    <row r="80" spans="1:47" s="1" customFormat="1" ht="15" customHeight="1" x14ac:dyDescent="0.2">
      <c r="A80" s="122" t="str">
        <f>IF(Contents!$A$1=2,"Other in Russia","Прочие регионы России")</f>
        <v>Прочие регионы России</v>
      </c>
      <c r="B80" s="278" t="str">
        <f>IF(Contents!$A$1=2,"mln m³","млн м³")</f>
        <v>млн м³</v>
      </c>
      <c r="C80" s="141"/>
      <c r="D80" s="439">
        <v>23</v>
      </c>
      <c r="E80" s="439"/>
      <c r="F80" s="439">
        <v>5</v>
      </c>
      <c r="G80" s="439">
        <v>6</v>
      </c>
      <c r="H80" s="439">
        <v>6</v>
      </c>
      <c r="I80" s="439">
        <v>6</v>
      </c>
      <c r="J80" s="439">
        <v>23</v>
      </c>
      <c r="K80" s="439"/>
      <c r="L80" s="439">
        <v>9</v>
      </c>
      <c r="M80" s="439">
        <v>9</v>
      </c>
      <c r="N80" s="439">
        <v>8</v>
      </c>
      <c r="O80" s="439">
        <v>8</v>
      </c>
      <c r="P80" s="439">
        <v>34</v>
      </c>
      <c r="Q80" s="439"/>
      <c r="R80" s="439">
        <v>8</v>
      </c>
      <c r="S80" s="439">
        <v>8</v>
      </c>
      <c r="T80" s="439">
        <v>8</v>
      </c>
      <c r="U80" s="439">
        <v>8</v>
      </c>
      <c r="V80" s="439">
        <v>32</v>
      </c>
      <c r="W80" s="439"/>
      <c r="X80" s="439">
        <v>7</v>
      </c>
      <c r="Y80" s="439">
        <v>6</v>
      </c>
      <c r="Z80" s="439">
        <v>6</v>
      </c>
      <c r="AA80" s="439">
        <v>7</v>
      </c>
      <c r="AB80" s="439">
        <v>26</v>
      </c>
      <c r="AC80" s="439"/>
      <c r="AD80" s="439">
        <v>7</v>
      </c>
      <c r="AE80" s="439">
        <v>6</v>
      </c>
      <c r="AF80" s="439">
        <v>5</v>
      </c>
      <c r="AG80" s="439">
        <v>6</v>
      </c>
      <c r="AH80" s="439">
        <v>24</v>
      </c>
      <c r="AI80" s="439"/>
      <c r="AJ80" s="439">
        <v>6</v>
      </c>
      <c r="AK80" s="439">
        <v>5</v>
      </c>
      <c r="AL80" s="439">
        <v>4</v>
      </c>
      <c r="AM80" s="439">
        <v>2</v>
      </c>
      <c r="AN80" s="439">
        <v>17</v>
      </c>
      <c r="AO80" s="439"/>
      <c r="AP80" s="437">
        <v>3</v>
      </c>
      <c r="AQ80" s="437">
        <v>2</v>
      </c>
      <c r="AR80" s="437">
        <v>3</v>
      </c>
      <c r="AS80" s="437">
        <v>3</v>
      </c>
      <c r="AT80" s="437">
        <v>11</v>
      </c>
    </row>
    <row r="81" spans="1:46" s="1" customFormat="1" ht="15" customHeight="1" x14ac:dyDescent="0.2">
      <c r="A81" s="121" t="str">
        <f>IF(Contents!$A$1=2,"Gas produced outside Russia","Добыча за рубежом")</f>
        <v>Добыча за рубежом</v>
      </c>
      <c r="B81" s="277" t="str">
        <f>IF(Contents!$A$1=2,"mln m³","млн м³")</f>
        <v>млн м³</v>
      </c>
      <c r="C81" s="141"/>
      <c r="D81" s="438">
        <v>5264</v>
      </c>
      <c r="E81" s="438"/>
      <c r="F81" s="438">
        <v>1542</v>
      </c>
      <c r="G81" s="438">
        <v>1564</v>
      </c>
      <c r="H81" s="438">
        <v>1448</v>
      </c>
      <c r="I81" s="438">
        <v>1896</v>
      </c>
      <c r="J81" s="439">
        <v>6450</v>
      </c>
      <c r="K81" s="438"/>
      <c r="L81" s="438">
        <v>2032</v>
      </c>
      <c r="M81" s="438">
        <v>1832</v>
      </c>
      <c r="N81" s="438">
        <v>1782</v>
      </c>
      <c r="O81" s="438">
        <v>2008</v>
      </c>
      <c r="P81" s="439">
        <v>7654</v>
      </c>
      <c r="Q81" s="439"/>
      <c r="R81" s="438">
        <v>1924</v>
      </c>
      <c r="S81" s="438">
        <v>2103</v>
      </c>
      <c r="T81" s="438">
        <v>2445</v>
      </c>
      <c r="U81" s="438">
        <v>3413</v>
      </c>
      <c r="V81" s="438">
        <v>9885</v>
      </c>
      <c r="W81" s="438"/>
      <c r="X81" s="438">
        <v>3343</v>
      </c>
      <c r="Y81" s="438">
        <v>3493</v>
      </c>
      <c r="Z81" s="438">
        <v>3919</v>
      </c>
      <c r="AA81" s="438">
        <v>4341</v>
      </c>
      <c r="AB81" s="438">
        <v>15096</v>
      </c>
      <c r="AC81" s="438"/>
      <c r="AD81" s="438">
        <v>4406</v>
      </c>
      <c r="AE81" s="438">
        <v>3766</v>
      </c>
      <c r="AF81" s="438">
        <v>3787</v>
      </c>
      <c r="AG81" s="438">
        <v>4649</v>
      </c>
      <c r="AH81" s="438">
        <v>16608</v>
      </c>
      <c r="AI81" s="438"/>
      <c r="AJ81" s="438">
        <v>3581</v>
      </c>
      <c r="AK81" s="438">
        <v>1936</v>
      </c>
      <c r="AL81" s="438">
        <v>1532</v>
      </c>
      <c r="AM81" s="438">
        <v>3759</v>
      </c>
      <c r="AN81" s="438">
        <v>10808</v>
      </c>
      <c r="AO81" s="438"/>
      <c r="AP81" s="438">
        <v>4381</v>
      </c>
      <c r="AQ81" s="438">
        <v>2929</v>
      </c>
      <c r="AR81" s="438">
        <v>3657</v>
      </c>
      <c r="AS81" s="438">
        <v>4506</v>
      </c>
      <c r="AT81" s="438">
        <v>15473</v>
      </c>
    </row>
    <row r="82" spans="1:46" s="206" customFormat="1" ht="15" customHeight="1" x14ac:dyDescent="0.2">
      <c r="A82" s="122" t="str">
        <f>IF(Contents!$A$1=2,"Uzbekistan","Узбекистан")</f>
        <v>Узбекистан</v>
      </c>
      <c r="B82" s="277" t="str">
        <f>IF(Contents!$A$1=2,"mln m³","млн м³")</f>
        <v>млн м³</v>
      </c>
      <c r="C82" s="141"/>
      <c r="D82" s="416">
        <v>0</v>
      </c>
      <c r="E82" s="438"/>
      <c r="F82" s="416">
        <v>0</v>
      </c>
      <c r="G82" s="416">
        <v>0</v>
      </c>
      <c r="H82" s="416">
        <v>0</v>
      </c>
      <c r="I82" s="416">
        <v>0</v>
      </c>
      <c r="J82" s="416">
        <v>0</v>
      </c>
      <c r="K82" s="438"/>
      <c r="L82" s="416">
        <v>0</v>
      </c>
      <c r="M82" s="416">
        <v>0</v>
      </c>
      <c r="N82" s="416">
        <v>0</v>
      </c>
      <c r="O82" s="416">
        <v>0</v>
      </c>
      <c r="P82" s="416">
        <v>0</v>
      </c>
      <c r="Q82" s="439"/>
      <c r="R82" s="416">
        <v>0</v>
      </c>
      <c r="S82" s="416">
        <v>0</v>
      </c>
      <c r="T82" s="416">
        <v>0</v>
      </c>
      <c r="U82" s="416">
        <v>0</v>
      </c>
      <c r="V82" s="438">
        <v>8055</v>
      </c>
      <c r="W82" s="438"/>
      <c r="X82" s="438">
        <v>2876</v>
      </c>
      <c r="Y82" s="438">
        <v>3093</v>
      </c>
      <c r="Z82" s="438">
        <v>3478</v>
      </c>
      <c r="AA82" s="438">
        <v>3815</v>
      </c>
      <c r="AB82" s="438">
        <v>13262</v>
      </c>
      <c r="AC82" s="438"/>
      <c r="AD82" s="438">
        <v>3824</v>
      </c>
      <c r="AE82" s="438">
        <v>3206</v>
      </c>
      <c r="AF82" s="438">
        <v>3225</v>
      </c>
      <c r="AG82" s="438">
        <v>3875</v>
      </c>
      <c r="AH82" s="438">
        <v>14130</v>
      </c>
      <c r="AI82" s="438"/>
      <c r="AJ82" s="438">
        <v>2839</v>
      </c>
      <c r="AK82" s="438">
        <v>1204</v>
      </c>
      <c r="AL82" s="438">
        <v>910</v>
      </c>
      <c r="AM82" s="438">
        <v>2994</v>
      </c>
      <c r="AN82" s="438">
        <v>7947</v>
      </c>
      <c r="AO82" s="438"/>
      <c r="AP82" s="438">
        <v>3612</v>
      </c>
      <c r="AQ82" s="438">
        <v>2209</v>
      </c>
      <c r="AR82" s="438">
        <v>2944</v>
      </c>
      <c r="AS82" s="438">
        <v>3655</v>
      </c>
      <c r="AT82" s="438">
        <v>12420</v>
      </c>
    </row>
    <row r="83" spans="1:46" s="206" customFormat="1" ht="15" customHeight="1" x14ac:dyDescent="0.2">
      <c r="A83" s="122" t="str">
        <f>IF(Contents!$A$1=2,"Other outside Russia","Прочие регионы за рубежом")</f>
        <v>Прочие регионы за рубежом</v>
      </c>
      <c r="B83" s="277" t="str">
        <f>IF(Contents!$A$1=2,"mln m³","млн м³")</f>
        <v>млн м³</v>
      </c>
      <c r="C83" s="141"/>
      <c r="D83" s="416">
        <v>0</v>
      </c>
      <c r="E83" s="438"/>
      <c r="F83" s="416">
        <v>0</v>
      </c>
      <c r="G83" s="416">
        <v>0</v>
      </c>
      <c r="H83" s="416">
        <v>0</v>
      </c>
      <c r="I83" s="416">
        <v>0</v>
      </c>
      <c r="J83" s="416">
        <v>0</v>
      </c>
      <c r="K83" s="438"/>
      <c r="L83" s="416">
        <v>0</v>
      </c>
      <c r="M83" s="416">
        <v>0</v>
      </c>
      <c r="N83" s="416">
        <v>0</v>
      </c>
      <c r="O83" s="416">
        <v>0</v>
      </c>
      <c r="P83" s="416">
        <v>0</v>
      </c>
      <c r="Q83" s="439"/>
      <c r="R83" s="416">
        <v>0</v>
      </c>
      <c r="S83" s="416">
        <v>0</v>
      </c>
      <c r="T83" s="416">
        <v>0</v>
      </c>
      <c r="U83" s="416">
        <v>0</v>
      </c>
      <c r="V83" s="438">
        <v>1830</v>
      </c>
      <c r="W83" s="438"/>
      <c r="X83" s="438">
        <v>467</v>
      </c>
      <c r="Y83" s="438">
        <v>400</v>
      </c>
      <c r="Z83" s="438">
        <v>441</v>
      </c>
      <c r="AA83" s="438">
        <v>526</v>
      </c>
      <c r="AB83" s="438">
        <v>1834</v>
      </c>
      <c r="AC83" s="438"/>
      <c r="AD83" s="438">
        <v>582</v>
      </c>
      <c r="AE83" s="438">
        <v>560</v>
      </c>
      <c r="AF83" s="438">
        <v>562</v>
      </c>
      <c r="AG83" s="438">
        <v>774</v>
      </c>
      <c r="AH83" s="438">
        <v>2478</v>
      </c>
      <c r="AI83" s="438"/>
      <c r="AJ83" s="438">
        <v>742</v>
      </c>
      <c r="AK83" s="438">
        <v>732</v>
      </c>
      <c r="AL83" s="438">
        <v>622</v>
      </c>
      <c r="AM83" s="438">
        <v>765</v>
      </c>
      <c r="AN83" s="438">
        <v>2861</v>
      </c>
      <c r="AO83" s="438"/>
      <c r="AP83" s="438">
        <v>769</v>
      </c>
      <c r="AQ83" s="438">
        <v>720</v>
      </c>
      <c r="AR83" s="438">
        <v>713</v>
      </c>
      <c r="AS83" s="438">
        <v>851</v>
      </c>
      <c r="AT83" s="438">
        <v>3053</v>
      </c>
    </row>
    <row r="84" spans="1:46" s="1" customFormat="1" ht="15" customHeight="1" x14ac:dyDescent="0.2">
      <c r="A84" s="234" t="str">
        <f>IF(Contents!$A$1=2,"Our share in gas produced by associates:","Доля Группы в добыче ассоциированных компани")</f>
        <v>Доля Группы в добыче ассоциированных компани</v>
      </c>
      <c r="B84" s="282" t="str">
        <f>IF(Contents!$A$1=2,"mln m³","млн м³")</f>
        <v>млн м³</v>
      </c>
      <c r="C84" s="141"/>
      <c r="D84" s="435">
        <v>673</v>
      </c>
      <c r="E84" s="436"/>
      <c r="F84" s="435">
        <v>174</v>
      </c>
      <c r="G84" s="435">
        <v>169</v>
      </c>
      <c r="H84" s="435">
        <v>135</v>
      </c>
      <c r="I84" s="435">
        <v>133</v>
      </c>
      <c r="J84" s="433">
        <v>611</v>
      </c>
      <c r="K84" s="436"/>
      <c r="L84" s="435">
        <v>214</v>
      </c>
      <c r="M84" s="435">
        <v>226</v>
      </c>
      <c r="N84" s="435">
        <v>184</v>
      </c>
      <c r="O84" s="435">
        <v>237</v>
      </c>
      <c r="P84" s="433">
        <v>861</v>
      </c>
      <c r="Q84" s="434"/>
      <c r="R84" s="435">
        <v>228</v>
      </c>
      <c r="S84" s="435">
        <v>228</v>
      </c>
      <c r="T84" s="435">
        <v>216</v>
      </c>
      <c r="U84" s="435">
        <v>224</v>
      </c>
      <c r="V84" s="435">
        <v>896</v>
      </c>
      <c r="W84" s="436"/>
      <c r="X84" s="435">
        <v>183</v>
      </c>
      <c r="Y84" s="435">
        <v>203</v>
      </c>
      <c r="Z84" s="435">
        <v>170</v>
      </c>
      <c r="AA84" s="435">
        <v>179</v>
      </c>
      <c r="AB84" s="435">
        <v>735</v>
      </c>
      <c r="AC84" s="436"/>
      <c r="AD84" s="435">
        <v>184</v>
      </c>
      <c r="AE84" s="435">
        <v>184</v>
      </c>
      <c r="AF84" s="435">
        <v>171</v>
      </c>
      <c r="AG84" s="435">
        <v>190</v>
      </c>
      <c r="AH84" s="435">
        <v>729</v>
      </c>
      <c r="AI84" s="436"/>
      <c r="AJ84" s="435">
        <v>188</v>
      </c>
      <c r="AK84" s="435">
        <v>179</v>
      </c>
      <c r="AL84" s="435">
        <v>170</v>
      </c>
      <c r="AM84" s="435">
        <v>197</v>
      </c>
      <c r="AN84" s="435">
        <v>734</v>
      </c>
      <c r="AO84" s="436"/>
      <c r="AP84" s="435">
        <v>186</v>
      </c>
      <c r="AQ84" s="435">
        <v>189</v>
      </c>
      <c r="AR84" s="435">
        <v>151</v>
      </c>
      <c r="AS84" s="435">
        <v>207</v>
      </c>
      <c r="AT84" s="435">
        <v>733</v>
      </c>
    </row>
    <row r="85" spans="1:46" s="1" customFormat="1" ht="15" customHeight="1" x14ac:dyDescent="0.2">
      <c r="A85" s="123" t="str">
        <f>IF(Contents!$A$1=2,"in Russia","в России")</f>
        <v>в России</v>
      </c>
      <c r="B85" s="277" t="str">
        <f>IF(Contents!$A$1=2,"mln m³","млн м³")</f>
        <v>млн м³</v>
      </c>
      <c r="C85" s="79"/>
      <c r="D85" s="438">
        <v>52</v>
      </c>
      <c r="E85" s="438"/>
      <c r="F85" s="438">
        <v>14</v>
      </c>
      <c r="G85" s="438">
        <v>9</v>
      </c>
      <c r="H85" s="438">
        <v>12</v>
      </c>
      <c r="I85" s="438">
        <v>10</v>
      </c>
      <c r="J85" s="438">
        <v>45</v>
      </c>
      <c r="K85" s="438"/>
      <c r="L85" s="438">
        <v>13</v>
      </c>
      <c r="M85" s="438">
        <v>28</v>
      </c>
      <c r="N85" s="438">
        <v>22</v>
      </c>
      <c r="O85" s="438">
        <v>26</v>
      </c>
      <c r="P85" s="438">
        <v>89</v>
      </c>
      <c r="Q85" s="438"/>
      <c r="R85" s="438">
        <v>23</v>
      </c>
      <c r="S85" s="438">
        <v>25</v>
      </c>
      <c r="T85" s="438">
        <v>23</v>
      </c>
      <c r="U85" s="438">
        <v>25</v>
      </c>
      <c r="V85" s="438">
        <v>96</v>
      </c>
      <c r="W85" s="438"/>
      <c r="X85" s="438">
        <v>23</v>
      </c>
      <c r="Y85" s="438">
        <v>25</v>
      </c>
      <c r="Z85" s="438">
        <v>24</v>
      </c>
      <c r="AA85" s="438">
        <v>20</v>
      </c>
      <c r="AB85" s="438">
        <v>92</v>
      </c>
      <c r="AC85" s="438"/>
      <c r="AD85" s="438">
        <v>21</v>
      </c>
      <c r="AE85" s="438">
        <v>23</v>
      </c>
      <c r="AF85" s="438">
        <v>22</v>
      </c>
      <c r="AG85" s="438">
        <v>22</v>
      </c>
      <c r="AH85" s="438">
        <v>88</v>
      </c>
      <c r="AI85" s="438"/>
      <c r="AJ85" s="438">
        <v>22</v>
      </c>
      <c r="AK85" s="438">
        <v>21</v>
      </c>
      <c r="AL85" s="438">
        <v>32</v>
      </c>
      <c r="AM85" s="438">
        <v>40</v>
      </c>
      <c r="AN85" s="438">
        <v>115</v>
      </c>
      <c r="AO85" s="438"/>
      <c r="AP85" s="438">
        <v>41</v>
      </c>
      <c r="AQ85" s="438">
        <v>36</v>
      </c>
      <c r="AR85" s="438">
        <v>28</v>
      </c>
      <c r="AS85" s="438">
        <v>30</v>
      </c>
      <c r="AT85" s="438">
        <v>135</v>
      </c>
    </row>
    <row r="86" spans="1:46" s="1" customFormat="1" ht="15" customHeight="1" x14ac:dyDescent="0.2">
      <c r="A86" s="122" t="str">
        <f>IF(Contents!$A$1=2,"outside Russia","за рубежом")</f>
        <v>за рубежом</v>
      </c>
      <c r="B86" s="278" t="str">
        <f>IF(Contents!$A$1=2,"mln m³","млн м³")</f>
        <v>млн м³</v>
      </c>
      <c r="C86" s="141"/>
      <c r="D86" s="439">
        <v>621</v>
      </c>
      <c r="E86" s="439"/>
      <c r="F86" s="439">
        <v>160</v>
      </c>
      <c r="G86" s="439">
        <v>160</v>
      </c>
      <c r="H86" s="439">
        <v>123</v>
      </c>
      <c r="I86" s="439">
        <v>123</v>
      </c>
      <c r="J86" s="439">
        <v>566</v>
      </c>
      <c r="K86" s="439"/>
      <c r="L86" s="439">
        <v>201</v>
      </c>
      <c r="M86" s="439">
        <v>198</v>
      </c>
      <c r="N86" s="439">
        <v>162</v>
      </c>
      <c r="O86" s="439">
        <v>211</v>
      </c>
      <c r="P86" s="439">
        <v>772</v>
      </c>
      <c r="Q86" s="439"/>
      <c r="R86" s="439">
        <v>205</v>
      </c>
      <c r="S86" s="439">
        <v>203</v>
      </c>
      <c r="T86" s="439">
        <v>193</v>
      </c>
      <c r="U86" s="439">
        <v>199</v>
      </c>
      <c r="V86" s="439">
        <v>800</v>
      </c>
      <c r="W86" s="439"/>
      <c r="X86" s="439">
        <v>160</v>
      </c>
      <c r="Y86" s="439">
        <v>178</v>
      </c>
      <c r="Z86" s="439">
        <v>146</v>
      </c>
      <c r="AA86" s="439">
        <v>159</v>
      </c>
      <c r="AB86" s="439">
        <v>643</v>
      </c>
      <c r="AC86" s="439"/>
      <c r="AD86" s="439">
        <v>163</v>
      </c>
      <c r="AE86" s="439">
        <v>161</v>
      </c>
      <c r="AF86" s="439">
        <v>149</v>
      </c>
      <c r="AG86" s="439">
        <v>168</v>
      </c>
      <c r="AH86" s="439">
        <v>641</v>
      </c>
      <c r="AI86" s="439"/>
      <c r="AJ86" s="439">
        <v>166</v>
      </c>
      <c r="AK86" s="439">
        <v>158</v>
      </c>
      <c r="AL86" s="439">
        <v>138</v>
      </c>
      <c r="AM86" s="439">
        <v>157</v>
      </c>
      <c r="AN86" s="439">
        <v>619</v>
      </c>
      <c r="AO86" s="439"/>
      <c r="AP86" s="437">
        <v>145</v>
      </c>
      <c r="AQ86" s="437">
        <v>153</v>
      </c>
      <c r="AR86" s="437">
        <v>123</v>
      </c>
      <c r="AS86" s="437">
        <v>177</v>
      </c>
      <c r="AT86" s="437">
        <v>598</v>
      </c>
    </row>
    <row r="87" spans="1:46" s="206" customFormat="1" ht="15" customHeight="1" x14ac:dyDescent="0.2">
      <c r="A87" s="61" t="str">
        <f>IF(Contents!$A$1=2,"¹ Since 2016 natural and petroleum gas production less flaring, reinjection, and gas processed into natural gas liquids at gas processing plants. In 2014- 2015 gas available for sale","¹ С 2016 г. природный и нефтяной газ до факела, обратной закачки и газа, направленного на выработку жидких углеводородов на ГПЗ. В 2014-2015 гг. товарный газ.")</f>
        <v>¹ С 2016 г. природный и нефтяной газ до факела, обратной закачки и газа, направленного на выработку жидких углеводородов на ГПЗ. В 2014-2015 гг. товарный газ.</v>
      </c>
      <c r="B87" s="278"/>
      <c r="C87" s="141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</row>
    <row r="90" spans="1:46" ht="15" customHeight="1" x14ac:dyDescent="0.2">
      <c r="A90" s="39" t="str">
        <f>IF(Contents!$A$1=2,"Data  on  application  of  reduced  and  zero  mineral  extraction  tax  rates  for  crude  oil produced in Russia (excluding special tax regimes) ","Данные по применению пониженных и нулевых ставок налога на добычу нефти в России (кроме особых налоговых режимов)")</f>
        <v>Данные по применению пониженных и нулевых ставок налога на добычу нефти в России (кроме особых налоговых режимов)</v>
      </c>
    </row>
    <row r="92" spans="1:46" ht="15" customHeight="1" x14ac:dyDescent="0.2">
      <c r="A92" s="75"/>
      <c r="B92" s="134"/>
      <c r="C92" s="16"/>
      <c r="D92" s="317">
        <v>2014</v>
      </c>
      <c r="E92" s="324"/>
      <c r="F92" s="325" t="str">
        <f>IF(Contents!$A$1=2,"1Q","1 кв")</f>
        <v>1 кв</v>
      </c>
      <c r="G92" s="325" t="str">
        <f>IF(Contents!$A$1=2,"2Q","2 кв")</f>
        <v>2 кв</v>
      </c>
      <c r="H92" s="325" t="str">
        <f>IF(Contents!$A$1=2,"3Q","3 кв")</f>
        <v>3 кв</v>
      </c>
      <c r="I92" s="325" t="str">
        <f>IF(Contents!$A$1=2,"4Q","4 кв")</f>
        <v>4 кв</v>
      </c>
      <c r="J92" s="317">
        <v>2015</v>
      </c>
      <c r="K92" s="330"/>
      <c r="L92" s="325" t="str">
        <f>IF(Contents!$A$1=2,"1Q","1 кв")</f>
        <v>1 кв</v>
      </c>
      <c r="M92" s="325" t="str">
        <f>IF(Contents!$A$1=2,"2Q","2 кв")</f>
        <v>2 кв</v>
      </c>
      <c r="N92" s="325" t="str">
        <f>IF(Contents!$A$1=2,"3Q","3 кв")</f>
        <v>3 кв</v>
      </c>
      <c r="O92" s="325" t="str">
        <f>IF(Contents!$A$1=2,"4Q","4 кв")</f>
        <v>4 кв</v>
      </c>
      <c r="P92" s="329">
        <v>2016</v>
      </c>
      <c r="Q92" s="330"/>
      <c r="R92" s="325" t="str">
        <f>IF(Contents!$A$1=2,"1Q","1 кв")</f>
        <v>1 кв</v>
      </c>
      <c r="S92" s="325" t="str">
        <f>IF(Contents!$A$1=2,"2Q","2 кв")</f>
        <v>2 кв</v>
      </c>
      <c r="T92" s="325" t="str">
        <f>IF(Contents!$A$1=2,"3Q","3 кв")</f>
        <v>3 кв</v>
      </c>
      <c r="U92" s="325" t="str">
        <f>IF(Contents!$A$1=2,"4Q","4 кв")</f>
        <v>4 кв</v>
      </c>
      <c r="V92" s="317">
        <v>2017</v>
      </c>
      <c r="W92" s="324"/>
      <c r="X92" s="325" t="str">
        <f>IF(Contents!$A$1=2,"1Q","1 кв")</f>
        <v>1 кв</v>
      </c>
      <c r="Y92" s="325" t="str">
        <f>IF(Contents!$A$1=2,"2Q","2 кв")</f>
        <v>2 кв</v>
      </c>
      <c r="Z92" s="325" t="str">
        <f>IF(Contents!$A$1=2,"3Q","3 кв")</f>
        <v>3 кв</v>
      </c>
      <c r="AA92" s="325" t="str">
        <f>IF(Contents!$A$1=2,"4Q","4 кв")</f>
        <v>4 кв</v>
      </c>
      <c r="AB92" s="317">
        <v>2018</v>
      </c>
      <c r="AC92" s="324"/>
      <c r="AD92" s="325" t="str">
        <f>IF(Contents!$A$1=2,"1Q","1 кв")</f>
        <v>1 кв</v>
      </c>
      <c r="AE92" s="325" t="str">
        <f>IF(Contents!$A$1=2,"2Q","2 кв")</f>
        <v>2 кв</v>
      </c>
      <c r="AF92" s="325" t="str">
        <f>IF(Contents!$A$1=2,"3Q","3 кв")</f>
        <v>3 кв</v>
      </c>
      <c r="AG92" s="325" t="str">
        <f>IF(Contents!$A$1=2,"4Q","4 кв")</f>
        <v>4 кв</v>
      </c>
      <c r="AH92" s="317">
        <v>2019</v>
      </c>
      <c r="AI92" s="324"/>
      <c r="AJ92" s="325" t="str">
        <f>IF(Contents!$A$1=2,"1Q","1 кв")</f>
        <v>1 кв</v>
      </c>
      <c r="AK92" s="325" t="str">
        <f>IF(Contents!$A$1=2,"2Q","2 кв")</f>
        <v>2 кв</v>
      </c>
      <c r="AL92" s="325" t="str">
        <f>IF(Contents!$A$1=2,"3Q","3 кв")</f>
        <v>3 кв</v>
      </c>
      <c r="AM92" s="325" t="str">
        <f>IF(Contents!$A$1=2,"4Q","4 кв")</f>
        <v>4 кв</v>
      </c>
      <c r="AN92" s="317">
        <v>2020</v>
      </c>
      <c r="AO92" s="324"/>
      <c r="AP92" s="325" t="str">
        <f>IF(Contents!$A$1=2,"1Q","1 кв")</f>
        <v>1 кв</v>
      </c>
      <c r="AQ92" s="325" t="str">
        <f>IF(Contents!$A$1=2,"2Q","2 кв")</f>
        <v>2 кв</v>
      </c>
      <c r="AR92" s="325" t="str">
        <f>IF(Contents!$A$1=2,"3Q","3 кв")</f>
        <v>3 кв</v>
      </c>
      <c r="AS92" s="325" t="str">
        <f>IF(Contents!$A$1=2,"4Q","4 кв")</f>
        <v>4 кв</v>
      </c>
      <c r="AT92" s="317">
        <v>2021</v>
      </c>
    </row>
    <row r="93" spans="1:46" ht="29.25" customHeight="1" x14ac:dyDescent="0.2">
      <c r="A93" s="388" t="str">
        <f>IF(Contents!$A$1=2,"Decrease in extraction taxes from application of reduced and zero rates for crude oil and gas production","Снижение расходов по НДПИ от применения пониженных и нулевых ставок по добыче нефти и газа»")</f>
        <v>Снижение расходов по НДПИ от применения пониженных и нулевых ставок по добыче нефти и газа»</v>
      </c>
      <c r="B93" s="282" t="str">
        <f>IF(Contents!$A$1=2,"mln RUB","млн руб.")</f>
        <v>млн руб.</v>
      </c>
      <c r="C93" s="141"/>
      <c r="D93" s="435">
        <v>0</v>
      </c>
      <c r="E93" s="436"/>
      <c r="F93" s="435">
        <v>0</v>
      </c>
      <c r="G93" s="435">
        <v>0</v>
      </c>
      <c r="H93" s="435">
        <v>0</v>
      </c>
      <c r="I93" s="435">
        <v>0</v>
      </c>
      <c r="J93" s="433">
        <v>0</v>
      </c>
      <c r="K93" s="436"/>
      <c r="L93" s="435">
        <v>10905</v>
      </c>
      <c r="M93" s="435">
        <v>15483</v>
      </c>
      <c r="N93" s="435">
        <v>15463</v>
      </c>
      <c r="O93" s="435">
        <v>17676</v>
      </c>
      <c r="P93" s="433">
        <v>59527</v>
      </c>
      <c r="Q93" s="434"/>
      <c r="R93" s="435">
        <v>18891</v>
      </c>
      <c r="S93" s="435">
        <v>16677</v>
      </c>
      <c r="T93" s="435">
        <v>19260</v>
      </c>
      <c r="U93" s="435">
        <v>20886</v>
      </c>
      <c r="V93" s="435">
        <v>75714</v>
      </c>
      <c r="W93" s="436"/>
      <c r="X93" s="435">
        <v>26060</v>
      </c>
      <c r="Y93" s="435">
        <v>32561</v>
      </c>
      <c r="Z93" s="435">
        <v>37235</v>
      </c>
      <c r="AA93" s="435">
        <v>37444</v>
      </c>
      <c r="AB93" s="435">
        <v>133300</v>
      </c>
      <c r="AC93" s="436"/>
      <c r="AD93" s="435">
        <v>30098</v>
      </c>
      <c r="AE93" s="435">
        <v>34262</v>
      </c>
      <c r="AF93" s="435">
        <v>31688</v>
      </c>
      <c r="AG93" s="435">
        <v>30970</v>
      </c>
      <c r="AH93" s="435">
        <v>127018</v>
      </c>
      <c r="AI93" s="436"/>
      <c r="AJ93" s="435">
        <v>24284</v>
      </c>
      <c r="AK93" s="435">
        <v>10305</v>
      </c>
      <c r="AL93" s="435">
        <v>21322</v>
      </c>
      <c r="AM93" s="435">
        <v>23235</v>
      </c>
      <c r="AN93" s="435">
        <v>79146</v>
      </c>
      <c r="AO93" s="436"/>
      <c r="AP93" s="435">
        <v>7944</v>
      </c>
      <c r="AQ93" s="435">
        <v>9437</v>
      </c>
      <c r="AR93" s="435">
        <v>11256</v>
      </c>
      <c r="AS93" s="435">
        <v>12114</v>
      </c>
      <c r="AT93" s="435">
        <v>40751</v>
      </c>
    </row>
    <row r="94" spans="1:46" s="352" customFormat="1" ht="15" customHeight="1" x14ac:dyDescent="0.2">
      <c r="A94" s="136" t="str">
        <f>IF(Contents!$A$1=2,"Volume of crude oil production subject to:","Объёмы добычи, к которым применяется:")</f>
        <v>Объёмы добычи, к которым применяется:</v>
      </c>
      <c r="B94" s="277"/>
      <c r="C94" s="385"/>
      <c r="D94" s="438"/>
      <c r="E94" s="438"/>
      <c r="F94" s="438"/>
      <c r="G94" s="438"/>
      <c r="H94" s="438"/>
      <c r="I94" s="438"/>
      <c r="J94" s="437"/>
      <c r="K94" s="438"/>
      <c r="L94" s="438"/>
      <c r="M94" s="438"/>
      <c r="N94" s="438"/>
      <c r="O94" s="438"/>
      <c r="P94" s="437"/>
      <c r="Q94" s="437"/>
      <c r="R94" s="438"/>
      <c r="S94" s="438"/>
      <c r="T94" s="438"/>
      <c r="U94" s="438"/>
      <c r="V94" s="438"/>
      <c r="W94" s="438"/>
      <c r="X94" s="438"/>
      <c r="Y94" s="438"/>
      <c r="Z94" s="438"/>
      <c r="AA94" s="438"/>
      <c r="AB94" s="438"/>
      <c r="AC94" s="438"/>
      <c r="AD94" s="438"/>
      <c r="AE94" s="438"/>
      <c r="AF94" s="438"/>
      <c r="AG94" s="438"/>
      <c r="AH94" s="438"/>
      <c r="AI94" s="438"/>
      <c r="AJ94" s="438"/>
      <c r="AK94" s="438"/>
      <c r="AL94" s="438"/>
      <c r="AM94" s="438"/>
      <c r="AN94" s="438"/>
      <c r="AO94" s="438"/>
      <c r="AP94" s="438"/>
      <c r="AQ94" s="438"/>
      <c r="AR94" s="438"/>
      <c r="AS94" s="438"/>
      <c r="AT94" s="438"/>
    </row>
    <row r="95" spans="1:46" ht="15" customHeight="1" x14ac:dyDescent="0.2">
      <c r="A95" s="84" t="str">
        <f>IF(Contents!$A$1=2,"reduced rates (ultra-high viscosity)","пониженная ставка (сверхвязкая нефть)")</f>
        <v>пониженная ставка (сверхвязкая нефть)</v>
      </c>
      <c r="B95" s="278" t="str">
        <f>IF(Contents!$A$1=2,"th. t","тыс. т")</f>
        <v>тыс. т</v>
      </c>
      <c r="C95" s="79"/>
      <c r="D95" s="439">
        <v>0</v>
      </c>
      <c r="E95" s="439"/>
      <c r="F95" s="439">
        <v>0</v>
      </c>
      <c r="G95" s="439">
        <v>0</v>
      </c>
      <c r="H95" s="439">
        <v>0</v>
      </c>
      <c r="I95" s="439">
        <v>0</v>
      </c>
      <c r="J95" s="439">
        <v>0</v>
      </c>
      <c r="K95" s="439"/>
      <c r="L95" s="439">
        <v>0</v>
      </c>
      <c r="M95" s="439">
        <v>0</v>
      </c>
      <c r="N95" s="439">
        <v>0</v>
      </c>
      <c r="O95" s="439">
        <v>0</v>
      </c>
      <c r="P95" s="439">
        <v>0</v>
      </c>
      <c r="Q95" s="439"/>
      <c r="R95" s="439">
        <v>192</v>
      </c>
      <c r="S95" s="439">
        <v>237</v>
      </c>
      <c r="T95" s="439">
        <v>308</v>
      </c>
      <c r="U95" s="439">
        <v>345</v>
      </c>
      <c r="V95" s="439">
        <v>1082</v>
      </c>
      <c r="W95" s="439"/>
      <c r="X95" s="439">
        <v>377</v>
      </c>
      <c r="Y95" s="439">
        <v>384</v>
      </c>
      <c r="Z95" s="439">
        <v>421</v>
      </c>
      <c r="AA95" s="439">
        <v>448</v>
      </c>
      <c r="AB95" s="439">
        <v>1630</v>
      </c>
      <c r="AC95" s="439"/>
      <c r="AD95" s="439">
        <v>483</v>
      </c>
      <c r="AE95" s="439">
        <v>540</v>
      </c>
      <c r="AF95" s="439">
        <v>577</v>
      </c>
      <c r="AG95" s="439">
        <v>557</v>
      </c>
      <c r="AH95" s="439">
        <v>2157</v>
      </c>
      <c r="AI95" s="439"/>
      <c r="AJ95" s="439">
        <v>601</v>
      </c>
      <c r="AK95" s="439">
        <v>603</v>
      </c>
      <c r="AL95" s="439">
        <v>624</v>
      </c>
      <c r="AM95" s="439">
        <v>599</v>
      </c>
      <c r="AN95" s="439">
        <v>2427</v>
      </c>
      <c r="AO95" s="439"/>
      <c r="AP95" s="439">
        <v>0</v>
      </c>
      <c r="AQ95" s="439">
        <v>0</v>
      </c>
      <c r="AR95" s="439">
        <v>0</v>
      </c>
      <c r="AS95" s="439">
        <v>0</v>
      </c>
      <c r="AT95" s="439">
        <v>0</v>
      </c>
    </row>
    <row r="96" spans="1:46" ht="15" customHeight="1" x14ac:dyDescent="0.2">
      <c r="A96" s="84" t="str">
        <f>IF(Contents!$A$1=2,"reduced rates (tax holidays for specific regions)","пониженная ставка (налоговые каникулы)")</f>
        <v>пониженная ставка (налоговые каникулы)</v>
      </c>
      <c r="B96" s="286" t="str">
        <f>IF(Contents!$A$1=2,"th. t","тыс. т")</f>
        <v>тыс. т</v>
      </c>
      <c r="C96" s="144"/>
      <c r="D96" s="440">
        <v>0</v>
      </c>
      <c r="E96" s="439"/>
      <c r="F96" s="440">
        <v>0</v>
      </c>
      <c r="G96" s="440">
        <v>0</v>
      </c>
      <c r="H96" s="440">
        <v>0</v>
      </c>
      <c r="I96" s="440">
        <v>0</v>
      </c>
      <c r="J96" s="440">
        <v>0</v>
      </c>
      <c r="K96" s="440"/>
      <c r="L96" s="440">
        <v>1223</v>
      </c>
      <c r="M96" s="440">
        <v>1142</v>
      </c>
      <c r="N96" s="440">
        <v>1148</v>
      </c>
      <c r="O96" s="440">
        <v>1341</v>
      </c>
      <c r="P96" s="440">
        <v>4854</v>
      </c>
      <c r="Q96" s="440"/>
      <c r="R96" s="440">
        <v>1350</v>
      </c>
      <c r="S96" s="440">
        <v>1372</v>
      </c>
      <c r="T96" s="440">
        <v>1342</v>
      </c>
      <c r="U96" s="440">
        <v>1401</v>
      </c>
      <c r="V96" s="440">
        <v>5465</v>
      </c>
      <c r="W96" s="440"/>
      <c r="X96" s="440">
        <v>1354</v>
      </c>
      <c r="Y96" s="440">
        <v>1383</v>
      </c>
      <c r="Z96" s="440">
        <v>1432</v>
      </c>
      <c r="AA96" s="440">
        <v>1503</v>
      </c>
      <c r="AB96" s="440">
        <v>5672</v>
      </c>
      <c r="AC96" s="440"/>
      <c r="AD96" s="440">
        <v>1045</v>
      </c>
      <c r="AE96" s="440">
        <v>1063</v>
      </c>
      <c r="AF96" s="440">
        <v>1037</v>
      </c>
      <c r="AG96" s="440">
        <v>1076</v>
      </c>
      <c r="AH96" s="440">
        <v>4221</v>
      </c>
      <c r="AI96" s="440"/>
      <c r="AJ96" s="440">
        <v>1053</v>
      </c>
      <c r="AK96" s="440">
        <v>1016</v>
      </c>
      <c r="AL96" s="440">
        <v>1074</v>
      </c>
      <c r="AM96" s="440">
        <v>1146</v>
      </c>
      <c r="AN96" s="440">
        <v>4289</v>
      </c>
      <c r="AO96" s="440"/>
      <c r="AP96" s="440">
        <v>302</v>
      </c>
      <c r="AQ96" s="440">
        <v>279</v>
      </c>
      <c r="AR96" s="440">
        <v>273</v>
      </c>
      <c r="AS96" s="440">
        <v>260</v>
      </c>
      <c r="AT96" s="440">
        <v>1114</v>
      </c>
    </row>
    <row r="97" spans="1:46" ht="15" customHeight="1" x14ac:dyDescent="0.2">
      <c r="A97" s="84" t="str">
        <f>IF(Contents!$A$1=2,"reduced rates (low permeability deposits)","пониженная ставка (низкопроницаемые залежи)")</f>
        <v>пониженная ставка (низкопроницаемые залежи)</v>
      </c>
      <c r="B97" s="278" t="str">
        <f>IF(Contents!$A$1=2,"th. t","тыс. т")</f>
        <v>тыс. т</v>
      </c>
      <c r="C97" s="141"/>
      <c r="D97" s="439">
        <v>0</v>
      </c>
      <c r="E97" s="439"/>
      <c r="F97" s="439">
        <v>0</v>
      </c>
      <c r="G97" s="439">
        <v>0</v>
      </c>
      <c r="H97" s="439">
        <v>0</v>
      </c>
      <c r="I97" s="439">
        <v>0</v>
      </c>
      <c r="J97" s="439">
        <v>0</v>
      </c>
      <c r="K97" s="439"/>
      <c r="L97" s="439">
        <v>0</v>
      </c>
      <c r="M97" s="439">
        <v>0</v>
      </c>
      <c r="N97" s="439">
        <v>0</v>
      </c>
      <c r="O97" s="439">
        <v>0</v>
      </c>
      <c r="P97" s="439">
        <v>0</v>
      </c>
      <c r="Q97" s="439"/>
      <c r="R97" s="439">
        <v>67.596854999999977</v>
      </c>
      <c r="S97" s="439">
        <v>82.403145000000023</v>
      </c>
      <c r="T97" s="439">
        <v>82</v>
      </c>
      <c r="U97" s="439">
        <v>111</v>
      </c>
      <c r="V97" s="439">
        <v>343</v>
      </c>
      <c r="W97" s="439"/>
      <c r="X97" s="439">
        <v>116</v>
      </c>
      <c r="Y97" s="439">
        <v>134</v>
      </c>
      <c r="Z97" s="439">
        <v>114</v>
      </c>
      <c r="AA97" s="439">
        <v>153</v>
      </c>
      <c r="AB97" s="439">
        <v>517</v>
      </c>
      <c r="AC97" s="439"/>
      <c r="AD97" s="439">
        <v>187</v>
      </c>
      <c r="AE97" s="439">
        <v>292</v>
      </c>
      <c r="AF97" s="439">
        <v>548</v>
      </c>
      <c r="AG97" s="439">
        <v>395</v>
      </c>
      <c r="AH97" s="439">
        <v>1422</v>
      </c>
      <c r="AI97" s="439"/>
      <c r="AJ97" s="439">
        <v>384</v>
      </c>
      <c r="AK97" s="439">
        <v>401</v>
      </c>
      <c r="AL97" s="439">
        <v>409</v>
      </c>
      <c r="AM97" s="439">
        <v>434</v>
      </c>
      <c r="AN97" s="439">
        <v>1628</v>
      </c>
      <c r="AO97" s="439"/>
      <c r="AP97" s="439">
        <v>512</v>
      </c>
      <c r="AQ97" s="439">
        <v>518</v>
      </c>
      <c r="AR97" s="439">
        <v>548</v>
      </c>
      <c r="AS97" s="439">
        <v>558</v>
      </c>
      <c r="AT97" s="439">
        <v>2136</v>
      </c>
    </row>
    <row r="98" spans="1:46" ht="15" customHeight="1" x14ac:dyDescent="0.2">
      <c r="A98" s="84" t="str">
        <f>IF(Contents!$A$1=2,"reduced rates (Tyumen deposits)","пониженная ставка (Тюменская свита)")</f>
        <v>пониженная ставка (Тюменская свита)</v>
      </c>
      <c r="B98" s="278" t="str">
        <f>IF(Contents!$A$1=2,"th. t","тыс. т")</f>
        <v>тыс. т</v>
      </c>
      <c r="C98" s="141"/>
      <c r="D98" s="439">
        <v>0</v>
      </c>
      <c r="E98" s="439"/>
      <c r="F98" s="439">
        <v>0</v>
      </c>
      <c r="G98" s="439">
        <v>0</v>
      </c>
      <c r="H98" s="439">
        <v>0</v>
      </c>
      <c r="I98" s="439">
        <v>0</v>
      </c>
      <c r="J98" s="439">
        <v>0</v>
      </c>
      <c r="K98" s="439"/>
      <c r="L98" s="439">
        <v>0</v>
      </c>
      <c r="M98" s="439">
        <v>0</v>
      </c>
      <c r="N98" s="439">
        <v>0</v>
      </c>
      <c r="O98" s="439">
        <v>0</v>
      </c>
      <c r="P98" s="439">
        <v>0</v>
      </c>
      <c r="Q98" s="439"/>
      <c r="R98" s="439">
        <v>107</v>
      </c>
      <c r="S98" s="439">
        <v>183</v>
      </c>
      <c r="T98" s="439">
        <v>140</v>
      </c>
      <c r="U98" s="439">
        <v>381</v>
      </c>
      <c r="V98" s="439">
        <v>811</v>
      </c>
      <c r="W98" s="439"/>
      <c r="X98" s="439">
        <v>190</v>
      </c>
      <c r="Y98" s="439">
        <v>198</v>
      </c>
      <c r="Z98" s="439">
        <v>192</v>
      </c>
      <c r="AA98" s="439">
        <v>255</v>
      </c>
      <c r="AB98" s="439">
        <v>835</v>
      </c>
      <c r="AC98" s="439"/>
      <c r="AD98" s="439">
        <v>160</v>
      </c>
      <c r="AE98" s="439">
        <v>159</v>
      </c>
      <c r="AF98" s="439">
        <v>225</v>
      </c>
      <c r="AG98" s="439">
        <v>181</v>
      </c>
      <c r="AH98" s="439">
        <v>725</v>
      </c>
      <c r="AI98" s="439"/>
      <c r="AJ98" s="439">
        <v>211</v>
      </c>
      <c r="AK98" s="439">
        <v>183</v>
      </c>
      <c r="AL98" s="439">
        <v>168</v>
      </c>
      <c r="AM98" s="439">
        <v>174</v>
      </c>
      <c r="AN98" s="439">
        <v>736</v>
      </c>
      <c r="AO98" s="439"/>
      <c r="AP98" s="439">
        <v>132</v>
      </c>
      <c r="AQ98" s="439">
        <v>133</v>
      </c>
      <c r="AR98" s="439">
        <v>136</v>
      </c>
      <c r="AS98" s="439">
        <v>140</v>
      </c>
      <c r="AT98" s="439">
        <v>541</v>
      </c>
    </row>
    <row r="99" spans="1:46" ht="15" customHeight="1" x14ac:dyDescent="0.2">
      <c r="A99" s="84" t="str">
        <f>IF(Contents!$A$1=2,"reduced rates (depleted fields)","пониженная ставка (высокая степень выработанности)")</f>
        <v>пониженная ставка (высокая степень выработанности)</v>
      </c>
      <c r="B99" s="277" t="str">
        <f>IF(Contents!$A$1=2,"th. t","тыс. т")</f>
        <v>тыс. т</v>
      </c>
      <c r="C99" s="79"/>
      <c r="D99" s="438">
        <v>0</v>
      </c>
      <c r="E99" s="438"/>
      <c r="F99" s="438">
        <v>0</v>
      </c>
      <c r="G99" s="438">
        <v>0</v>
      </c>
      <c r="H99" s="438">
        <v>0</v>
      </c>
      <c r="I99" s="438">
        <v>0</v>
      </c>
      <c r="J99" s="438">
        <v>0</v>
      </c>
      <c r="K99" s="438"/>
      <c r="L99" s="438">
        <v>3655</v>
      </c>
      <c r="M99" s="438">
        <v>3542</v>
      </c>
      <c r="N99" s="438">
        <v>3516</v>
      </c>
      <c r="O99" s="438">
        <v>3489</v>
      </c>
      <c r="P99" s="438">
        <v>14202</v>
      </c>
      <c r="Q99" s="438"/>
      <c r="R99" s="438">
        <v>3636</v>
      </c>
      <c r="S99" s="438">
        <v>3606</v>
      </c>
      <c r="T99" s="438">
        <v>3571</v>
      </c>
      <c r="U99" s="438">
        <v>3607</v>
      </c>
      <c r="V99" s="438">
        <v>14420</v>
      </c>
      <c r="W99" s="438"/>
      <c r="X99" s="438">
        <v>3905</v>
      </c>
      <c r="Y99" s="438">
        <v>3889</v>
      </c>
      <c r="Z99" s="438">
        <v>3941</v>
      </c>
      <c r="AA99" s="438">
        <v>3896</v>
      </c>
      <c r="AB99" s="438">
        <v>15631</v>
      </c>
      <c r="AC99" s="438"/>
      <c r="AD99" s="438">
        <v>4803</v>
      </c>
      <c r="AE99" s="438">
        <v>4758</v>
      </c>
      <c r="AF99" s="438">
        <v>4786</v>
      </c>
      <c r="AG99" s="438">
        <v>4703</v>
      </c>
      <c r="AH99" s="438">
        <v>19050</v>
      </c>
      <c r="AI99" s="438"/>
      <c r="AJ99" s="438">
        <v>5156</v>
      </c>
      <c r="AK99" s="438">
        <v>4603</v>
      </c>
      <c r="AL99" s="438">
        <v>4339</v>
      </c>
      <c r="AM99" s="438">
        <v>4358</v>
      </c>
      <c r="AN99" s="438">
        <v>18456</v>
      </c>
      <c r="AO99" s="438"/>
      <c r="AP99" s="438">
        <v>0</v>
      </c>
      <c r="AQ99" s="438">
        <v>0</v>
      </c>
      <c r="AR99" s="438">
        <v>0</v>
      </c>
      <c r="AS99" s="438">
        <v>0</v>
      </c>
      <c r="AT99" s="438">
        <v>0</v>
      </c>
    </row>
    <row r="100" spans="1:46" ht="15" customHeight="1" x14ac:dyDescent="0.2">
      <c r="A100" s="368" t="str">
        <f>IF(Contents!$A$1=2,"reduced rates (other)","пониженная ставка (прочие основания)")</f>
        <v>пониженная ставка (прочие основания)</v>
      </c>
      <c r="B100" s="389" t="str">
        <f>IF(Contents!$A$1=2,"th. t","тыс. т")</f>
        <v>тыс. т</v>
      </c>
      <c r="C100" s="390"/>
      <c r="D100" s="442">
        <v>0</v>
      </c>
      <c r="E100" s="442"/>
      <c r="F100" s="442">
        <v>0</v>
      </c>
      <c r="G100" s="442">
        <v>0</v>
      </c>
      <c r="H100" s="442">
        <v>0</v>
      </c>
      <c r="I100" s="442">
        <v>0</v>
      </c>
      <c r="J100" s="441">
        <v>0</v>
      </c>
      <c r="K100" s="442"/>
      <c r="L100" s="442">
        <v>0</v>
      </c>
      <c r="M100" s="442">
        <v>0</v>
      </c>
      <c r="N100" s="442">
        <v>0</v>
      </c>
      <c r="O100" s="442">
        <v>0</v>
      </c>
      <c r="P100" s="441">
        <v>0</v>
      </c>
      <c r="Q100" s="441"/>
      <c r="R100" s="442">
        <v>642.40314500000022</v>
      </c>
      <c r="S100" s="442">
        <v>511.59685499999978</v>
      </c>
      <c r="T100" s="442">
        <v>627</v>
      </c>
      <c r="U100" s="442">
        <v>392</v>
      </c>
      <c r="V100" s="442">
        <v>2173</v>
      </c>
      <c r="W100" s="442"/>
      <c r="X100" s="442">
        <v>556</v>
      </c>
      <c r="Y100" s="442">
        <v>523</v>
      </c>
      <c r="Z100" s="442">
        <v>630</v>
      </c>
      <c r="AA100" s="442">
        <v>601</v>
      </c>
      <c r="AB100" s="442">
        <v>2310</v>
      </c>
      <c r="AC100" s="442"/>
      <c r="AD100" s="442">
        <v>592</v>
      </c>
      <c r="AE100" s="442">
        <v>615</v>
      </c>
      <c r="AF100" s="442">
        <v>664</v>
      </c>
      <c r="AG100" s="442">
        <v>632</v>
      </c>
      <c r="AH100" s="442">
        <v>2503</v>
      </c>
      <c r="AI100" s="442"/>
      <c r="AJ100" s="442">
        <v>690</v>
      </c>
      <c r="AK100" s="442">
        <v>449</v>
      </c>
      <c r="AL100" s="442">
        <v>482</v>
      </c>
      <c r="AM100" s="442">
        <v>595</v>
      </c>
      <c r="AN100" s="442">
        <v>2216</v>
      </c>
      <c r="AO100" s="438"/>
      <c r="AP100" s="442">
        <v>695</v>
      </c>
      <c r="AQ100" s="442">
        <v>718</v>
      </c>
      <c r="AR100" s="442">
        <v>789</v>
      </c>
      <c r="AS100" s="442">
        <v>832</v>
      </c>
      <c r="AT100" s="442">
        <v>3034</v>
      </c>
    </row>
    <row r="101" spans="1:46" s="203" customFormat="1" x14ac:dyDescent="0.25">
      <c r="A101" s="412" t="str">
        <f>IF(Contents!$A$1=2,"Total volume of production subject to reduced rates","Суммарный объём добычи, облагаемый по сниженным ставкам")</f>
        <v>Суммарный объём добычи, облагаемый по сниженным ставкам</v>
      </c>
      <c r="B101" s="276" t="str">
        <f>IF(Contents!$A$1=2,"th. t","тыс. т")</f>
        <v>тыс. т</v>
      </c>
      <c r="C101" s="140"/>
      <c r="D101" s="436">
        <v>0</v>
      </c>
      <c r="E101" s="436"/>
      <c r="F101" s="436">
        <v>0</v>
      </c>
      <c r="G101" s="436">
        <v>0</v>
      </c>
      <c r="H101" s="436">
        <v>0</v>
      </c>
      <c r="I101" s="436">
        <v>0</v>
      </c>
      <c r="J101" s="434">
        <v>0</v>
      </c>
      <c r="K101" s="436"/>
      <c r="L101" s="436">
        <v>5926</v>
      </c>
      <c r="M101" s="436">
        <v>5805</v>
      </c>
      <c r="N101" s="436">
        <v>5817</v>
      </c>
      <c r="O101" s="436">
        <v>5965</v>
      </c>
      <c r="P101" s="434">
        <v>23513</v>
      </c>
      <c r="Q101" s="434"/>
      <c r="R101" s="436">
        <v>5995</v>
      </c>
      <c r="S101" s="436">
        <v>5992</v>
      </c>
      <c r="T101" s="436">
        <v>6070</v>
      </c>
      <c r="U101" s="436">
        <v>6237</v>
      </c>
      <c r="V101" s="436">
        <v>24294</v>
      </c>
      <c r="W101" s="436"/>
      <c r="X101" s="436">
        <v>6498</v>
      </c>
      <c r="Y101" s="436">
        <v>6511</v>
      </c>
      <c r="Z101" s="436">
        <v>6730</v>
      </c>
      <c r="AA101" s="436">
        <v>6856</v>
      </c>
      <c r="AB101" s="436">
        <v>26595</v>
      </c>
      <c r="AC101" s="436"/>
      <c r="AD101" s="436">
        <v>7270</v>
      </c>
      <c r="AE101" s="436">
        <v>7427</v>
      </c>
      <c r="AF101" s="436">
        <v>7837</v>
      </c>
      <c r="AG101" s="436">
        <v>7544</v>
      </c>
      <c r="AH101" s="436">
        <v>30078</v>
      </c>
      <c r="AI101" s="436"/>
      <c r="AJ101" s="436">
        <v>8095</v>
      </c>
      <c r="AK101" s="436">
        <v>7255</v>
      </c>
      <c r="AL101" s="436">
        <v>7096</v>
      </c>
      <c r="AM101" s="436">
        <v>7306</v>
      </c>
      <c r="AN101" s="436">
        <v>29752</v>
      </c>
      <c r="AO101" s="436"/>
      <c r="AP101" s="436">
        <v>1641</v>
      </c>
      <c r="AQ101" s="436">
        <v>1648</v>
      </c>
      <c r="AR101" s="436">
        <v>1746</v>
      </c>
      <c r="AS101" s="436">
        <v>1790</v>
      </c>
      <c r="AT101" s="436">
        <v>6825</v>
      </c>
    </row>
    <row r="104" spans="1:46" ht="15" customHeight="1" x14ac:dyDescent="0.2">
      <c r="A104" s="39" t="str">
        <f>IF(Contents!$A$1=2,"Production from license areas subject to TAI","Объём добычи нефти и газового конденсата на лицензионных участках, к которым применяется НДД")</f>
        <v>Объём добычи нефти и газового конденсата на лицензионных участках, к которым применяется НДД</v>
      </c>
    </row>
    <row r="106" spans="1:46" ht="15" customHeight="1" x14ac:dyDescent="0.2">
      <c r="A106" s="75"/>
      <c r="B106" s="134"/>
      <c r="C106" s="16"/>
      <c r="D106" s="317">
        <v>2014</v>
      </c>
      <c r="E106" s="324"/>
      <c r="F106" s="325" t="str">
        <f>IF(Contents!$A$1=2,"1Q","1 кв")</f>
        <v>1 кв</v>
      </c>
      <c r="G106" s="325" t="str">
        <f>IF(Contents!$A$1=2,"2Q","2 кв")</f>
        <v>2 кв</v>
      </c>
      <c r="H106" s="325" t="str">
        <f>IF(Contents!$A$1=2,"3Q","3 кв")</f>
        <v>3 кв</v>
      </c>
      <c r="I106" s="325" t="str">
        <f>IF(Contents!$A$1=2,"4Q","4 кв")</f>
        <v>4 кв</v>
      </c>
      <c r="J106" s="317">
        <v>2015</v>
      </c>
      <c r="K106" s="330"/>
      <c r="L106" s="325" t="str">
        <f>IF(Contents!$A$1=2,"1Q","1 кв")</f>
        <v>1 кв</v>
      </c>
      <c r="M106" s="325" t="str">
        <f>IF(Contents!$A$1=2,"2Q","2 кв")</f>
        <v>2 кв</v>
      </c>
      <c r="N106" s="325" t="str">
        <f>IF(Contents!$A$1=2,"3Q","3 кв")</f>
        <v>3 кв</v>
      </c>
      <c r="O106" s="325" t="str">
        <f>IF(Contents!$A$1=2,"4Q","4 кв")</f>
        <v>4 кв</v>
      </c>
      <c r="P106" s="329">
        <v>2016</v>
      </c>
      <c r="Q106" s="330"/>
      <c r="R106" s="325" t="str">
        <f>IF(Contents!$A$1=2,"1Q","1 кв")</f>
        <v>1 кв</v>
      </c>
      <c r="S106" s="325" t="str">
        <f>IF(Contents!$A$1=2,"2Q","2 кв")</f>
        <v>2 кв</v>
      </c>
      <c r="T106" s="325" t="str">
        <f>IF(Contents!$A$1=2,"3Q","3 кв")</f>
        <v>3 кв</v>
      </c>
      <c r="U106" s="325" t="str">
        <f>IF(Contents!$A$1=2,"4Q","4 кв")</f>
        <v>4 кв</v>
      </c>
      <c r="V106" s="317">
        <v>2017</v>
      </c>
      <c r="W106" s="324"/>
      <c r="X106" s="325" t="str">
        <f>IF(Contents!$A$1=2,"1Q","1 кв")</f>
        <v>1 кв</v>
      </c>
      <c r="Y106" s="325" t="str">
        <f>IF(Contents!$A$1=2,"2Q","2 кв")</f>
        <v>2 кв</v>
      </c>
      <c r="Z106" s="325" t="str">
        <f>IF(Contents!$A$1=2,"3Q","3 кв")</f>
        <v>3 кв</v>
      </c>
      <c r="AA106" s="325" t="str">
        <f>IF(Contents!$A$1=2,"4Q","4 кв")</f>
        <v>4 кв</v>
      </c>
      <c r="AB106" s="317">
        <v>2018</v>
      </c>
      <c r="AC106" s="324"/>
      <c r="AD106" s="325" t="str">
        <f>IF(Contents!$A$1=2,"1Q","1 кв")</f>
        <v>1 кв</v>
      </c>
      <c r="AE106" s="325" t="str">
        <f>IF(Contents!$A$1=2,"2Q","2 кв")</f>
        <v>2 кв</v>
      </c>
      <c r="AF106" s="325" t="str">
        <f>IF(Contents!$A$1=2,"3Q","3 кв")</f>
        <v>3 кв</v>
      </c>
      <c r="AG106" s="325" t="str">
        <f>IF(Contents!$A$1=2,"4Q","4 кв")</f>
        <v>4 кв</v>
      </c>
      <c r="AH106" s="317">
        <v>2019</v>
      </c>
      <c r="AI106" s="324"/>
      <c r="AJ106" s="325" t="str">
        <f>IF(Contents!$A$1=2,"1Q","1 кв")</f>
        <v>1 кв</v>
      </c>
      <c r="AK106" s="325" t="str">
        <f>IF(Contents!$A$1=2,"2Q","2 кв")</f>
        <v>2 кв</v>
      </c>
      <c r="AL106" s="325" t="str">
        <f>IF(Contents!$A$1=2,"3Q","3 кв")</f>
        <v>3 кв</v>
      </c>
      <c r="AM106" s="325" t="str">
        <f>IF(Contents!$A$1=2,"4Q","4 кв")</f>
        <v>4 кв</v>
      </c>
      <c r="AN106" s="317">
        <v>2020</v>
      </c>
      <c r="AO106" s="324"/>
      <c r="AP106" s="325" t="str">
        <f>IF(Contents!$A$1=2,"1Q","1 кв")</f>
        <v>1 кв</v>
      </c>
      <c r="AQ106" s="325" t="str">
        <f>IF(Contents!$A$1=2,"2Q","2 кв")</f>
        <v>2 кв</v>
      </c>
      <c r="AR106" s="325" t="str">
        <f>IF(Contents!$A$1=2,"3Q","3 кв")</f>
        <v>3 кв</v>
      </c>
      <c r="AS106" s="325" t="str">
        <f>IF(Contents!$A$1=2,"4Q","4 кв")</f>
        <v>4 кв</v>
      </c>
      <c r="AT106" s="317">
        <v>2021</v>
      </c>
    </row>
    <row r="107" spans="1:46" s="391" customFormat="1" ht="25.5" x14ac:dyDescent="0.25">
      <c r="A107" s="393" t="str">
        <f>IF(Contents!$A$1=2,"Mineral extraction tax for crude oil and gas condensate on license areas under TAI","Расходы по НДПИ на нефть и газовый конденсат на лицензионных участках, к которым применяется режим НДД")</f>
        <v>Расходы по НДПИ на нефть и газовый конденсат на лицензионных участках, к которым применяется режим НДД</v>
      </c>
      <c r="B107" s="282" t="str">
        <f>IF(Contents!$A$1=2,"mln RUB","млн руб.")</f>
        <v>млн руб.</v>
      </c>
      <c r="D107" s="502">
        <v>0</v>
      </c>
      <c r="E107" s="503"/>
      <c r="F107" s="502">
        <v>0</v>
      </c>
      <c r="G107" s="502">
        <v>0</v>
      </c>
      <c r="H107" s="502">
        <v>0</v>
      </c>
      <c r="I107" s="502">
        <v>0</v>
      </c>
      <c r="J107" s="502">
        <v>0</v>
      </c>
      <c r="K107" s="503"/>
      <c r="L107" s="502">
        <v>0</v>
      </c>
      <c r="M107" s="502">
        <v>0</v>
      </c>
      <c r="N107" s="502">
        <v>0</v>
      </c>
      <c r="O107" s="502">
        <v>0</v>
      </c>
      <c r="P107" s="502">
        <v>0</v>
      </c>
      <c r="Q107" s="503"/>
      <c r="R107" s="502">
        <v>0</v>
      </c>
      <c r="S107" s="502">
        <v>0</v>
      </c>
      <c r="T107" s="502">
        <v>0</v>
      </c>
      <c r="U107" s="502">
        <v>0</v>
      </c>
      <c r="V107" s="502">
        <v>0</v>
      </c>
      <c r="W107" s="503"/>
      <c r="X107" s="502">
        <v>0</v>
      </c>
      <c r="Y107" s="502">
        <v>0</v>
      </c>
      <c r="Z107" s="502">
        <v>0</v>
      </c>
      <c r="AA107" s="502">
        <v>0</v>
      </c>
      <c r="AB107" s="502">
        <v>0</v>
      </c>
      <c r="AC107" s="503"/>
      <c r="AD107" s="502">
        <v>6450</v>
      </c>
      <c r="AE107" s="502">
        <v>6829</v>
      </c>
      <c r="AF107" s="502">
        <v>5731</v>
      </c>
      <c r="AG107" s="502">
        <v>6418</v>
      </c>
      <c r="AH107" s="502">
        <v>25429</v>
      </c>
      <c r="AI107" s="503"/>
      <c r="AJ107" s="502">
        <v>4470</v>
      </c>
      <c r="AK107" s="502">
        <v>3484</v>
      </c>
      <c r="AL107" s="502">
        <v>5084</v>
      </c>
      <c r="AM107" s="502">
        <v>5483</v>
      </c>
      <c r="AN107" s="502">
        <v>18521</v>
      </c>
      <c r="AO107" s="503"/>
      <c r="AP107" s="502">
        <v>44485</v>
      </c>
      <c r="AQ107" s="502">
        <v>49006</v>
      </c>
      <c r="AR107" s="502">
        <v>51684</v>
      </c>
      <c r="AS107" s="502">
        <v>65609</v>
      </c>
      <c r="AT107" s="502">
        <v>210784</v>
      </c>
    </row>
    <row r="108" spans="1:46" ht="15" customHeight="1" x14ac:dyDescent="0.2">
      <c r="A108" s="123" t="str">
        <f>IF(Contents!$A$1=2,"Group 1","I группа")</f>
        <v>I группа</v>
      </c>
      <c r="B108" s="280" t="str">
        <f>IF(Contents!$A$1=2,"th. t","тыс. т")</f>
        <v>тыс. т</v>
      </c>
      <c r="D108" s="506">
        <v>0</v>
      </c>
      <c r="E108" s="507"/>
      <c r="F108" s="506">
        <v>0</v>
      </c>
      <c r="G108" s="506">
        <v>0</v>
      </c>
      <c r="H108" s="506">
        <v>0</v>
      </c>
      <c r="I108" s="506">
        <v>0</v>
      </c>
      <c r="J108" s="506">
        <v>0</v>
      </c>
      <c r="K108" s="507"/>
      <c r="L108" s="506">
        <v>0</v>
      </c>
      <c r="M108" s="506">
        <v>0</v>
      </c>
      <c r="N108" s="506">
        <v>0</v>
      </c>
      <c r="O108" s="506">
        <v>0</v>
      </c>
      <c r="P108" s="506">
        <v>0</v>
      </c>
      <c r="Q108" s="507"/>
      <c r="R108" s="506">
        <v>0</v>
      </c>
      <c r="S108" s="506">
        <v>0</v>
      </c>
      <c r="T108" s="506">
        <v>0</v>
      </c>
      <c r="U108" s="506">
        <v>0</v>
      </c>
      <c r="V108" s="506">
        <v>0</v>
      </c>
      <c r="W108" s="507"/>
      <c r="X108" s="506">
        <v>0</v>
      </c>
      <c r="Y108" s="506">
        <v>0</v>
      </c>
      <c r="Z108" s="506">
        <v>0</v>
      </c>
      <c r="AA108" s="506">
        <v>0</v>
      </c>
      <c r="AB108" s="506">
        <v>0</v>
      </c>
      <c r="AC108" s="507"/>
      <c r="AD108" s="506">
        <v>504</v>
      </c>
      <c r="AE108" s="506">
        <v>499</v>
      </c>
      <c r="AF108" s="506">
        <v>509</v>
      </c>
      <c r="AG108" s="506">
        <v>499</v>
      </c>
      <c r="AH108" s="506">
        <v>2011</v>
      </c>
      <c r="AI108" s="507"/>
      <c r="AJ108" s="506">
        <v>536</v>
      </c>
      <c r="AK108" s="506">
        <v>514</v>
      </c>
      <c r="AL108" s="506">
        <v>525</v>
      </c>
      <c r="AM108" s="506">
        <v>496</v>
      </c>
      <c r="AN108" s="506">
        <v>2071</v>
      </c>
      <c r="AO108" s="507"/>
      <c r="AP108" s="506">
        <v>560</v>
      </c>
      <c r="AQ108" s="506">
        <v>495</v>
      </c>
      <c r="AR108" s="506">
        <v>540</v>
      </c>
      <c r="AS108" s="506">
        <v>506</v>
      </c>
      <c r="AT108" s="506">
        <v>2101</v>
      </c>
    </row>
    <row r="109" spans="1:46" ht="15" customHeight="1" x14ac:dyDescent="0.2">
      <c r="A109" s="123" t="str">
        <f>IF(Contents!$A$1=2,"Group 3","III группа")</f>
        <v>III группа</v>
      </c>
      <c r="B109" s="280" t="str">
        <f>IF(Contents!$A$1=2,"th. t","тыс. т")</f>
        <v>тыс. т</v>
      </c>
      <c r="D109" s="506">
        <v>0</v>
      </c>
      <c r="E109" s="507"/>
      <c r="F109" s="506">
        <v>0</v>
      </c>
      <c r="G109" s="506">
        <v>0</v>
      </c>
      <c r="H109" s="506">
        <v>0</v>
      </c>
      <c r="I109" s="506">
        <v>0</v>
      </c>
      <c r="J109" s="506">
        <v>0</v>
      </c>
      <c r="K109" s="507"/>
      <c r="L109" s="506">
        <v>0</v>
      </c>
      <c r="M109" s="506">
        <v>0</v>
      </c>
      <c r="N109" s="506">
        <v>0</v>
      </c>
      <c r="O109" s="506">
        <v>0</v>
      </c>
      <c r="P109" s="506">
        <v>0</v>
      </c>
      <c r="Q109" s="507"/>
      <c r="R109" s="506">
        <v>0</v>
      </c>
      <c r="S109" s="506">
        <v>0</v>
      </c>
      <c r="T109" s="506">
        <v>0</v>
      </c>
      <c r="U109" s="506">
        <v>0</v>
      </c>
      <c r="V109" s="506">
        <v>0</v>
      </c>
      <c r="W109" s="507"/>
      <c r="X109" s="506">
        <v>0</v>
      </c>
      <c r="Y109" s="506">
        <v>0</v>
      </c>
      <c r="Z109" s="506">
        <v>0</v>
      </c>
      <c r="AA109" s="506">
        <v>0</v>
      </c>
      <c r="AB109" s="506">
        <v>0</v>
      </c>
      <c r="AC109" s="507"/>
      <c r="AD109" s="506">
        <v>685</v>
      </c>
      <c r="AE109" s="506">
        <v>726</v>
      </c>
      <c r="AF109" s="506">
        <v>725</v>
      </c>
      <c r="AG109" s="506">
        <v>760</v>
      </c>
      <c r="AH109" s="506">
        <v>2896</v>
      </c>
      <c r="AI109" s="507"/>
      <c r="AJ109" s="506">
        <v>768</v>
      </c>
      <c r="AK109" s="506">
        <v>767</v>
      </c>
      <c r="AL109" s="506">
        <v>747</v>
      </c>
      <c r="AM109" s="506">
        <v>748</v>
      </c>
      <c r="AN109" s="506">
        <v>3030</v>
      </c>
      <c r="AO109" s="507"/>
      <c r="AP109" s="506">
        <v>4368</v>
      </c>
      <c r="AQ109" s="506">
        <v>4629</v>
      </c>
      <c r="AR109" s="506">
        <v>4752</v>
      </c>
      <c r="AS109" s="506">
        <v>4992</v>
      </c>
      <c r="AT109" s="506">
        <v>18741</v>
      </c>
    </row>
    <row r="110" spans="1:46" s="392" customFormat="1" ht="15" customHeight="1" x14ac:dyDescent="0.2">
      <c r="A110" s="363" t="str">
        <f>IF(Contents!$A$1=2,"Group 4","IV группа")</f>
        <v>IV группа</v>
      </c>
      <c r="B110" s="394" t="str">
        <f>IF(Contents!$A$1=2,"th. t","тыс. т")</f>
        <v>тыс. т</v>
      </c>
      <c r="D110" s="508">
        <v>0</v>
      </c>
      <c r="E110" s="509"/>
      <c r="F110" s="508">
        <v>0</v>
      </c>
      <c r="G110" s="508">
        <v>0</v>
      </c>
      <c r="H110" s="508">
        <v>0</v>
      </c>
      <c r="I110" s="508">
        <v>0</v>
      </c>
      <c r="J110" s="508">
        <v>0</v>
      </c>
      <c r="K110" s="509"/>
      <c r="L110" s="508">
        <v>0</v>
      </c>
      <c r="M110" s="508">
        <v>0</v>
      </c>
      <c r="N110" s="508">
        <v>0</v>
      </c>
      <c r="O110" s="508">
        <v>0</v>
      </c>
      <c r="P110" s="508">
        <v>0</v>
      </c>
      <c r="Q110" s="509"/>
      <c r="R110" s="508">
        <v>0</v>
      </c>
      <c r="S110" s="508">
        <v>0</v>
      </c>
      <c r="T110" s="508">
        <v>0</v>
      </c>
      <c r="U110" s="508">
        <v>0</v>
      </c>
      <c r="V110" s="508">
        <v>0</v>
      </c>
      <c r="W110" s="509"/>
      <c r="X110" s="508">
        <v>0</v>
      </c>
      <c r="Y110" s="508">
        <v>0</v>
      </c>
      <c r="Z110" s="508">
        <v>0</v>
      </c>
      <c r="AA110" s="508">
        <v>0</v>
      </c>
      <c r="AB110" s="508">
        <v>0</v>
      </c>
      <c r="AC110" s="509"/>
      <c r="AD110" s="508">
        <v>8</v>
      </c>
      <c r="AE110" s="508">
        <v>10</v>
      </c>
      <c r="AF110" s="508">
        <v>9</v>
      </c>
      <c r="AG110" s="508">
        <v>14</v>
      </c>
      <c r="AH110" s="508">
        <v>41</v>
      </c>
      <c r="AI110" s="509"/>
      <c r="AJ110" s="508">
        <v>23</v>
      </c>
      <c r="AK110" s="508">
        <v>24</v>
      </c>
      <c r="AL110" s="508">
        <v>25</v>
      </c>
      <c r="AM110" s="508">
        <v>23</v>
      </c>
      <c r="AN110" s="508">
        <v>95</v>
      </c>
      <c r="AO110" s="509"/>
      <c r="AP110" s="508">
        <v>24</v>
      </c>
      <c r="AQ110" s="508">
        <v>35</v>
      </c>
      <c r="AR110" s="508">
        <v>47</v>
      </c>
      <c r="AS110" s="508">
        <v>46</v>
      </c>
      <c r="AT110" s="508">
        <v>152</v>
      </c>
    </row>
    <row r="111" spans="1:46" ht="25.5" x14ac:dyDescent="0.2">
      <c r="A111" s="387" t="str">
        <f>IF(Contents!$A$1=2,"Total volume of crude oil and gas condensate production at license areas subject to TAI","Суммарный объём добычи нефти и газового конденсата на лицензионных участках, к которым применяется режим НДД")</f>
        <v>Суммарный объём добычи нефти и газового конденсата на лицензионных участках, к которым применяется режим НДД</v>
      </c>
      <c r="B111" s="280" t="str">
        <f>IF(Contents!$A$1=2,"th. t","тыс. т")</f>
        <v>тыс. т</v>
      </c>
      <c r="D111" s="506">
        <v>0</v>
      </c>
      <c r="E111" s="507"/>
      <c r="F111" s="506">
        <v>0</v>
      </c>
      <c r="G111" s="506">
        <v>0</v>
      </c>
      <c r="H111" s="506">
        <v>0</v>
      </c>
      <c r="I111" s="506">
        <v>0</v>
      </c>
      <c r="J111" s="506">
        <v>0</v>
      </c>
      <c r="K111" s="507"/>
      <c r="L111" s="506">
        <v>0</v>
      </c>
      <c r="M111" s="506">
        <v>0</v>
      </c>
      <c r="N111" s="506">
        <v>0</v>
      </c>
      <c r="O111" s="506">
        <v>0</v>
      </c>
      <c r="P111" s="506">
        <v>0</v>
      </c>
      <c r="Q111" s="507"/>
      <c r="R111" s="506">
        <v>0</v>
      </c>
      <c r="S111" s="506">
        <v>0</v>
      </c>
      <c r="T111" s="506">
        <v>0</v>
      </c>
      <c r="U111" s="506">
        <v>0</v>
      </c>
      <c r="V111" s="506">
        <v>0</v>
      </c>
      <c r="W111" s="507"/>
      <c r="X111" s="506">
        <v>0</v>
      </c>
      <c r="Y111" s="506">
        <v>0</v>
      </c>
      <c r="Z111" s="506">
        <v>0</v>
      </c>
      <c r="AA111" s="506">
        <v>0</v>
      </c>
      <c r="AB111" s="506">
        <v>0</v>
      </c>
      <c r="AC111" s="507"/>
      <c r="AD111" s="510">
        <v>1197</v>
      </c>
      <c r="AE111" s="510">
        <v>1235</v>
      </c>
      <c r="AF111" s="510">
        <v>1243</v>
      </c>
      <c r="AG111" s="510">
        <v>1273</v>
      </c>
      <c r="AH111" s="510">
        <v>4948</v>
      </c>
      <c r="AI111" s="472"/>
      <c r="AJ111" s="510">
        <v>1327</v>
      </c>
      <c r="AK111" s="510">
        <v>1305</v>
      </c>
      <c r="AL111" s="510">
        <v>1297</v>
      </c>
      <c r="AM111" s="510">
        <v>1267</v>
      </c>
      <c r="AN111" s="510">
        <v>5196</v>
      </c>
      <c r="AO111" s="472"/>
      <c r="AP111" s="510">
        <v>4952</v>
      </c>
      <c r="AQ111" s="510">
        <v>5159</v>
      </c>
      <c r="AR111" s="510">
        <v>5339</v>
      </c>
      <c r="AS111" s="510">
        <v>5544</v>
      </c>
      <c r="AT111" s="510">
        <v>20994</v>
      </c>
    </row>
    <row r="113" spans="1:45" s="47" customFormat="1" ht="15" customHeight="1" x14ac:dyDescent="0.2">
      <c r="A113" s="51" t="str">
        <f>IF(Contents!$A$1=2,"Contents","Содержание")</f>
        <v>Содержание</v>
      </c>
      <c r="B113" s="51"/>
      <c r="E113" s="349"/>
      <c r="K113" s="349"/>
      <c r="Q113" s="349"/>
      <c r="W113" s="349"/>
      <c r="AC113" s="349"/>
      <c r="AI113" s="349"/>
      <c r="AO113" s="349"/>
    </row>
    <row r="114" spans="1:45" ht="15" customHeight="1" x14ac:dyDescent="0.2">
      <c r="D114" s="40"/>
      <c r="E114" s="350"/>
      <c r="F114" s="40"/>
      <c r="G114" s="40"/>
      <c r="H114" s="40"/>
      <c r="I114" s="40"/>
      <c r="J114" s="40"/>
      <c r="K114" s="350"/>
      <c r="L114" s="40"/>
      <c r="M114" s="40"/>
      <c r="N114" s="40"/>
      <c r="O114" s="40"/>
      <c r="P114" s="40"/>
      <c r="Q114" s="350"/>
      <c r="R114" s="40"/>
      <c r="S114" s="40"/>
      <c r="T114" s="40"/>
      <c r="U114" s="40"/>
      <c r="V114" s="40"/>
      <c r="W114" s="350"/>
      <c r="X114" s="40"/>
      <c r="Y114" s="40"/>
      <c r="Z114" s="40"/>
      <c r="AA114" s="40"/>
      <c r="AB114" s="40"/>
      <c r="AC114" s="350"/>
      <c r="AD114" s="40"/>
      <c r="AE114" s="40"/>
      <c r="AF114" s="40"/>
      <c r="AG114" s="40"/>
      <c r="AH114" s="40"/>
      <c r="AI114" s="350"/>
      <c r="AJ114" s="40"/>
      <c r="AK114" s="40"/>
      <c r="AL114" s="40"/>
      <c r="AM114" s="40"/>
      <c r="AN114" s="40"/>
      <c r="AO114" s="350"/>
      <c r="AP114" s="40"/>
      <c r="AQ114" s="40"/>
      <c r="AR114" s="40"/>
      <c r="AS114" s="40"/>
    </row>
  </sheetData>
  <conditionalFormatting sqref="A1:Q1 B87:W87 B11:W13 A8:W10 A2:AB6 A113:AI115 A7:C7 E7 K7:W7 K84:W86 K82:K83 AT50:AU53 A35:W53 X87:AB91 A88:W91 E93:E101 K92:W100 B93:C101 X93:AB100 AC84:AC100 AD93:AJ100 D93:D100 F93:J100 A112:AS112 AT2:AU2 E73:E86 K72:W81 A72:C86 X73:AB81 AC72:AC81 AD73:AI81 D73:D81 F73:J81 A14:AU15 AD87:AU91 AK74:AO81 B107:AO111 AV35:XFD53 AV2:XFD15 AT112:AU115 A102:AU105 AV72:XFD1048576 A116:AU1048576 AT11:AU13 AT4:AU6 AU3 AU35:AU49 AU72:AU86 AU92:AU101 AU106:AU111 AU7:AU10">
    <cfRule type="containsText" dxfId="1155" priority="346" operator="containsText" text="ложь">
      <formula>NOT(ISERROR(SEARCH("ложь",A1)))</formula>
    </cfRule>
  </conditionalFormatting>
  <conditionalFormatting sqref="AU1:XFD1">
    <cfRule type="containsText" dxfId="1154" priority="343" operator="containsText" text="ложь">
      <formula>NOT(ISERROR(SEARCH("ложь",AU1)))</formula>
    </cfRule>
  </conditionalFormatting>
  <conditionalFormatting sqref="R1:AB1">
    <cfRule type="containsText" dxfId="1153" priority="338" operator="containsText" text="ложь">
      <formula>NOT(ISERROR(SEARCH("ложь",R1)))</formula>
    </cfRule>
  </conditionalFormatting>
  <conditionalFormatting sqref="A11:A13">
    <cfRule type="containsText" dxfId="1152" priority="334" operator="containsText" text="ложь">
      <formula>NOT(ISERROR(SEARCH("ложь",A11)))</formula>
    </cfRule>
  </conditionalFormatting>
  <conditionalFormatting sqref="X7:AB7 X11:AB13 X50:AB53 X9:X10 X36:X46 X48:X49 X85:X86 X72:AB72 X35:AB35">
    <cfRule type="containsText" dxfId="1151" priority="313" operator="containsText" text="ложь">
      <formula>NOT(ISERROR(SEARCH("ложь",X7)))</formula>
    </cfRule>
  </conditionalFormatting>
  <conditionalFormatting sqref="X8">
    <cfRule type="containsText" dxfId="1150" priority="309" operator="containsText" text="ложь">
      <formula>NOT(ISERROR(SEARCH("ложь",X8)))</formula>
    </cfRule>
  </conditionalFormatting>
  <conditionalFormatting sqref="X84">
    <cfRule type="containsText" dxfId="1149" priority="308" operator="containsText" text="ложь">
      <formula>NOT(ISERROR(SEARCH("ложь",X84)))</formula>
    </cfRule>
  </conditionalFormatting>
  <conditionalFormatting sqref="X47">
    <cfRule type="containsText" dxfId="1148" priority="307" operator="containsText" text="ложь">
      <formula>NOT(ISERROR(SEARCH("ложь",X47)))</formula>
    </cfRule>
  </conditionalFormatting>
  <conditionalFormatting sqref="Y9:Y10">
    <cfRule type="containsText" dxfId="1147" priority="306" operator="containsText" text="ложь">
      <formula>NOT(ISERROR(SEARCH("ложь",Y9)))</formula>
    </cfRule>
  </conditionalFormatting>
  <conditionalFormatting sqref="Y8">
    <cfRule type="containsText" dxfId="1146" priority="305" operator="containsText" text="ложь">
      <formula>NOT(ISERROR(SEARCH("ложь",Y8)))</formula>
    </cfRule>
  </conditionalFormatting>
  <conditionalFormatting sqref="Y36:Y46 Y48:Y49">
    <cfRule type="containsText" dxfId="1145" priority="304" operator="containsText" text="ложь">
      <formula>NOT(ISERROR(SEARCH("ложь",Y36)))</formula>
    </cfRule>
  </conditionalFormatting>
  <conditionalFormatting sqref="Y47">
    <cfRule type="containsText" dxfId="1144" priority="303" operator="containsText" text="ложь">
      <formula>NOT(ISERROR(SEARCH("ложь",Y47)))</formula>
    </cfRule>
  </conditionalFormatting>
  <conditionalFormatting sqref="Y85:Y86">
    <cfRule type="containsText" dxfId="1143" priority="302" operator="containsText" text="ложь">
      <formula>NOT(ISERROR(SEARCH("ложь",Y85)))</formula>
    </cfRule>
  </conditionalFormatting>
  <conditionalFormatting sqref="Y84">
    <cfRule type="containsText" dxfId="1142" priority="301" operator="containsText" text="ложь">
      <formula>NOT(ISERROR(SEARCH("ложь",Y84)))</formula>
    </cfRule>
  </conditionalFormatting>
  <conditionalFormatting sqref="Z9:AB10">
    <cfRule type="containsText" dxfId="1141" priority="300" operator="containsText" text="ложь">
      <formula>NOT(ISERROR(SEARCH("ложь",Z9)))</formula>
    </cfRule>
  </conditionalFormatting>
  <conditionalFormatting sqref="Z8:AB8">
    <cfRule type="containsText" dxfId="1140" priority="299" operator="containsText" text="ложь">
      <formula>NOT(ISERROR(SEARCH("ложь",Z8)))</formula>
    </cfRule>
  </conditionalFormatting>
  <conditionalFormatting sqref="Z36:AB46 Z48:AB49">
    <cfRule type="containsText" dxfId="1139" priority="298" operator="containsText" text="ложь">
      <formula>NOT(ISERROR(SEARCH("ложь",Z36)))</formula>
    </cfRule>
  </conditionalFormatting>
  <conditionalFormatting sqref="Z47:AB47">
    <cfRule type="containsText" dxfId="1138" priority="297" operator="containsText" text="ложь">
      <formula>NOT(ISERROR(SEARCH("ложь",Z47)))</formula>
    </cfRule>
  </conditionalFormatting>
  <conditionalFormatting sqref="Z85:AB86">
    <cfRule type="containsText" dxfId="1137" priority="296" operator="containsText" text="ложь">
      <formula>NOT(ISERROR(SEARCH("ложь",Z85)))</formula>
    </cfRule>
  </conditionalFormatting>
  <conditionalFormatting sqref="Z84:AB84">
    <cfRule type="containsText" dxfId="1136" priority="295" operator="containsText" text="ложь">
      <formula>NOT(ISERROR(SEARCH("ложь",Z84)))</formula>
    </cfRule>
  </conditionalFormatting>
  <conditionalFormatting sqref="Q82 V82:W82">
    <cfRule type="containsText" dxfId="1135" priority="294" operator="containsText" text="ложь">
      <formula>NOT(ISERROR(SEARCH("ложь",Q82)))</formula>
    </cfRule>
  </conditionalFormatting>
  <conditionalFormatting sqref="X82">
    <cfRule type="containsText" dxfId="1134" priority="293" operator="containsText" text="ложь">
      <formula>NOT(ISERROR(SEARCH("ложь",X82)))</formula>
    </cfRule>
  </conditionalFormatting>
  <conditionalFormatting sqref="Y82">
    <cfRule type="containsText" dxfId="1133" priority="292" operator="containsText" text="ложь">
      <formula>NOT(ISERROR(SEARCH("ложь",Y82)))</formula>
    </cfRule>
  </conditionalFormatting>
  <conditionalFormatting sqref="Z82:AB82">
    <cfRule type="containsText" dxfId="1132" priority="291" operator="containsText" text="ложь">
      <formula>NOT(ISERROR(SEARCH("ложь",Z82)))</formula>
    </cfRule>
  </conditionalFormatting>
  <conditionalFormatting sqref="Q83 V83:W83">
    <cfRule type="containsText" dxfId="1131" priority="290" operator="containsText" text="ложь">
      <formula>NOT(ISERROR(SEARCH("ложь",Q83)))</formula>
    </cfRule>
  </conditionalFormatting>
  <conditionalFormatting sqref="X83">
    <cfRule type="containsText" dxfId="1130" priority="289" operator="containsText" text="ложь">
      <formula>NOT(ISERROR(SEARCH("ложь",X83)))</formula>
    </cfRule>
  </conditionalFormatting>
  <conditionalFormatting sqref="Y83">
    <cfRule type="containsText" dxfId="1129" priority="288" operator="containsText" text="ложь">
      <formula>NOT(ISERROR(SEARCH("ложь",Y83)))</formula>
    </cfRule>
  </conditionalFormatting>
  <conditionalFormatting sqref="Z83:AB83">
    <cfRule type="containsText" dxfId="1128" priority="287" operator="containsText" text="ложь">
      <formula>NOT(ISERROR(SEARCH("ложь",Z83)))</formula>
    </cfRule>
  </conditionalFormatting>
  <conditionalFormatting sqref="AC7:AC13 AC2:AS2 AC35:AC53 AC4:AS6 AC3:AT3">
    <cfRule type="containsText" dxfId="1127" priority="282" operator="containsText" text="ложь">
      <formula>NOT(ISERROR(SEARCH("ложь",AC2)))</formula>
    </cfRule>
  </conditionalFormatting>
  <conditionalFormatting sqref="AC1:AO1">
    <cfRule type="containsText" dxfId="1126" priority="281" operator="containsText" text="ложь">
      <formula>NOT(ISERROR(SEARCH("ложь",AC1)))</formula>
    </cfRule>
  </conditionalFormatting>
  <conditionalFormatting sqref="AD7:AO7 AD11:AI13 AD50:AI53 AD72:AI72 AD35:AI35">
    <cfRule type="containsText" dxfId="1125" priority="277" operator="containsText" text="ложь">
      <formula>NOT(ISERROR(SEARCH("ложь",AD7)))</formula>
    </cfRule>
  </conditionalFormatting>
  <conditionalFormatting sqref="AC82">
    <cfRule type="containsText" dxfId="1124" priority="258" operator="containsText" text="ложь">
      <formula>NOT(ISERROR(SEARCH("ложь",AC82)))</formula>
    </cfRule>
  </conditionalFormatting>
  <conditionalFormatting sqref="AC83">
    <cfRule type="containsText" dxfId="1123" priority="254" operator="containsText" text="ложь">
      <formula>NOT(ISERROR(SEARCH("ложь",AC83)))</formula>
    </cfRule>
  </conditionalFormatting>
  <conditionalFormatting sqref="AD9:AI10">
    <cfRule type="containsText" dxfId="1122" priority="250" operator="containsText" text="ложь">
      <formula>NOT(ISERROR(SEARCH("ложь",AD9)))</formula>
    </cfRule>
  </conditionalFormatting>
  <conditionalFormatting sqref="AD8:AI8">
    <cfRule type="containsText" dxfId="1121" priority="249" operator="containsText" text="ложь">
      <formula>NOT(ISERROR(SEARCH("ложь",AD8)))</formula>
    </cfRule>
  </conditionalFormatting>
  <conditionalFormatting sqref="AD36:AI46 AD48:AI49">
    <cfRule type="containsText" dxfId="1120" priority="246" operator="containsText" text="ложь">
      <formula>NOT(ISERROR(SEARCH("ложь",AD36)))</formula>
    </cfRule>
  </conditionalFormatting>
  <conditionalFormatting sqref="AD47:AI47">
    <cfRule type="containsText" dxfId="1119" priority="245" operator="containsText" text="ложь">
      <formula>NOT(ISERROR(SEARCH("ложь",AD47)))</formula>
    </cfRule>
  </conditionalFormatting>
  <conditionalFormatting sqref="AD85:AI86">
    <cfRule type="containsText" dxfId="1118" priority="244" operator="containsText" text="ложь">
      <formula>NOT(ISERROR(SEARCH("ложь",AD85)))</formula>
    </cfRule>
  </conditionalFormatting>
  <conditionalFormatting sqref="AD84:AI84">
    <cfRule type="containsText" dxfId="1117" priority="243" operator="containsText" text="ложь">
      <formula>NOT(ISERROR(SEARCH("ложь",AD84)))</formula>
    </cfRule>
  </conditionalFormatting>
  <conditionalFormatting sqref="AD82:AI82">
    <cfRule type="containsText" dxfId="1116" priority="242" operator="containsText" text="ложь">
      <formula>NOT(ISERROR(SEARCH("ложь",AD82)))</formula>
    </cfRule>
  </conditionalFormatting>
  <conditionalFormatting sqref="AD83:AI83">
    <cfRule type="containsText" dxfId="1115" priority="241" operator="containsText" text="ложь">
      <formula>NOT(ISERROR(SEARCH("ложь",AD83)))</formula>
    </cfRule>
  </conditionalFormatting>
  <conditionalFormatting sqref="AJ113:AS115">
    <cfRule type="containsText" dxfId="1114" priority="229" operator="containsText" text="ложь">
      <formula>NOT(ISERROR(SEARCH("ложь",AJ113)))</formula>
    </cfRule>
  </conditionalFormatting>
  <conditionalFormatting sqref="AJ11:AS13 AJ50:AS53 AJ72:AO72 AJ35:AO35">
    <cfRule type="containsText" dxfId="1113" priority="228" operator="containsText" text="ложь">
      <formula>NOT(ISERROR(SEARCH("ложь",AJ11)))</formula>
    </cfRule>
  </conditionalFormatting>
  <conditionalFormatting sqref="AJ9:AJ10">
    <cfRule type="containsText" dxfId="1112" priority="224" operator="containsText" text="ложь">
      <formula>NOT(ISERROR(SEARCH("ложь",AJ9)))</formula>
    </cfRule>
  </conditionalFormatting>
  <conditionalFormatting sqref="AJ8">
    <cfRule type="containsText" dxfId="1111" priority="223" operator="containsText" text="ложь">
      <formula>NOT(ISERROR(SEARCH("ложь",AJ8)))</formula>
    </cfRule>
  </conditionalFormatting>
  <conditionalFormatting sqref="AJ36:AJ46 AJ48:AJ49">
    <cfRule type="containsText" dxfId="1110" priority="220" operator="containsText" text="ложь">
      <formula>NOT(ISERROR(SEARCH("ложь",AJ36)))</formula>
    </cfRule>
  </conditionalFormatting>
  <conditionalFormatting sqref="AJ47">
    <cfRule type="containsText" dxfId="1109" priority="219" operator="containsText" text="ложь">
      <formula>NOT(ISERROR(SEARCH("ложь",AJ47)))</formula>
    </cfRule>
  </conditionalFormatting>
  <conditionalFormatting sqref="AJ85:AJ86 AJ74:AJ81 AJ73:AO73">
    <cfRule type="containsText" dxfId="1108" priority="218" operator="containsText" text="ложь">
      <formula>NOT(ISERROR(SEARCH("ложь",AJ73)))</formula>
    </cfRule>
  </conditionalFormatting>
  <conditionalFormatting sqref="AJ84">
    <cfRule type="containsText" dxfId="1107" priority="217" operator="containsText" text="ложь">
      <formula>NOT(ISERROR(SEARCH("ложь",AJ84)))</formula>
    </cfRule>
  </conditionalFormatting>
  <conditionalFormatting sqref="AJ82">
    <cfRule type="containsText" dxfId="1106" priority="216" operator="containsText" text="ложь">
      <formula>NOT(ISERROR(SEARCH("ложь",AJ82)))</formula>
    </cfRule>
  </conditionalFormatting>
  <conditionalFormatting sqref="AJ83">
    <cfRule type="containsText" dxfId="1105" priority="215" operator="containsText" text="ложь">
      <formula>NOT(ISERROR(SEARCH("ложь",AJ83)))</formula>
    </cfRule>
  </conditionalFormatting>
  <conditionalFormatting sqref="D7">
    <cfRule type="containsText" dxfId="1104" priority="214" operator="containsText" text="ложь">
      <formula>NOT(ISERROR(SEARCH("ложь",D7)))</formula>
    </cfRule>
  </conditionalFormatting>
  <conditionalFormatting sqref="F7:J7">
    <cfRule type="containsText" dxfId="1103" priority="212" operator="containsText" text="ложь">
      <formula>NOT(ISERROR(SEARCH("ложь",F7)))</formula>
    </cfRule>
  </conditionalFormatting>
  <conditionalFormatting sqref="E72">
    <cfRule type="containsText" dxfId="1102" priority="208" operator="containsText" text="ложь">
      <formula>NOT(ISERROR(SEARCH("ложь",E72)))</formula>
    </cfRule>
  </conditionalFormatting>
  <conditionalFormatting sqref="D72">
    <cfRule type="containsText" dxfId="1101" priority="207" operator="containsText" text="ложь">
      <formula>NOT(ISERROR(SEARCH("ложь",D72)))</formula>
    </cfRule>
  </conditionalFormatting>
  <conditionalFormatting sqref="F72:J72">
    <cfRule type="containsText" dxfId="1100" priority="206" operator="containsText" text="ложь">
      <formula>NOT(ISERROR(SEARCH("ложь",F72)))</formula>
    </cfRule>
  </conditionalFormatting>
  <conditionalFormatting sqref="D84:D86">
    <cfRule type="containsText" dxfId="1099" priority="205" operator="containsText" text="ложь">
      <formula>NOT(ISERROR(SEARCH("ложь",D84)))</formula>
    </cfRule>
  </conditionalFormatting>
  <conditionalFormatting sqref="F84:J86">
    <cfRule type="containsText" dxfId="1098" priority="202" operator="containsText" text="ложь">
      <formula>NOT(ISERROR(SEARCH("ложь",F84)))</formula>
    </cfRule>
  </conditionalFormatting>
  <conditionalFormatting sqref="D55:D68">
    <cfRule type="containsText" dxfId="1097" priority="184" operator="containsText" text="ложь">
      <formula>NOT(ISERROR(SEARCH("ложь",D55)))</formula>
    </cfRule>
  </conditionalFormatting>
  <conditionalFormatting sqref="B69:W71 A66:C68 AT69:AU71 B64:C65 AV54:XFD71 A54:E54 K54:W63 A55:C63 E55:E68 AU54:AU68 K66:W68 K64:K65 Q64:Q65 W64:W65">
    <cfRule type="containsText" dxfId="1096" priority="199" operator="containsText" text="ложь">
      <formula>NOT(ISERROR(SEARCH("ложь",A54)))</formula>
    </cfRule>
  </conditionalFormatting>
  <conditionalFormatting sqref="A70:A71">
    <cfRule type="containsText" dxfId="1095" priority="198" operator="containsText" text="ложь">
      <formula>NOT(ISERROR(SEARCH("ложь",A70)))</formula>
    </cfRule>
  </conditionalFormatting>
  <conditionalFormatting sqref="X54:AB63 X66:AB71 AB64:AB65">
    <cfRule type="containsText" dxfId="1094" priority="195" operator="containsText" text="ложь">
      <formula>NOT(ISERROR(SEARCH("ложь",X54)))</formula>
    </cfRule>
  </conditionalFormatting>
  <conditionalFormatting sqref="AC54:AC71">
    <cfRule type="containsText" dxfId="1093" priority="194" operator="containsText" text="ложь">
      <formula>NOT(ISERROR(SEARCH("ложь",AC54)))</formula>
    </cfRule>
  </conditionalFormatting>
  <conditionalFormatting sqref="AD54:AI54 AD69:AI71">
    <cfRule type="containsText" dxfId="1092" priority="193" operator="containsText" text="ложь">
      <formula>NOT(ISERROR(SEARCH("ложь",AD54)))</formula>
    </cfRule>
  </conditionalFormatting>
  <conditionalFormatting sqref="AD55:AI68">
    <cfRule type="containsText" dxfId="1091" priority="192" operator="containsText" text="ложь">
      <formula>NOT(ISERROR(SEARCH("ложь",AD55)))</formula>
    </cfRule>
  </conditionalFormatting>
  <conditionalFormatting sqref="A64">
    <cfRule type="containsText" dxfId="1090" priority="191" operator="containsText" text="ложь">
      <formula>NOT(ISERROR(SEARCH("ложь",A64)))</formula>
    </cfRule>
  </conditionalFormatting>
  <conditionalFormatting sqref="A65">
    <cfRule type="containsText" dxfId="1089" priority="190" operator="containsText" text="ложь">
      <formula>NOT(ISERROR(SEARCH("ложь",A65)))</formula>
    </cfRule>
  </conditionalFormatting>
  <conditionalFormatting sqref="AJ54:AO54 AJ69:AS71">
    <cfRule type="containsText" dxfId="1088" priority="188" operator="containsText" text="ложь">
      <formula>NOT(ISERROR(SEARCH("ложь",AJ54)))</formula>
    </cfRule>
  </conditionalFormatting>
  <conditionalFormatting sqref="AJ55:AO68">
    <cfRule type="containsText" dxfId="1087" priority="187" operator="containsText" text="ложь">
      <formula>NOT(ISERROR(SEARCH("ложь",AJ55)))</formula>
    </cfRule>
  </conditionalFormatting>
  <conditionalFormatting sqref="F55:J61 J54 F63:J63 F66:J68">
    <cfRule type="containsText" dxfId="1086" priority="186" operator="containsText" text="ложь">
      <formula>NOT(ISERROR(SEARCH("ложь",F54)))</formula>
    </cfRule>
  </conditionalFormatting>
  <conditionalFormatting sqref="F54:I54">
    <cfRule type="containsText" dxfId="1085" priority="185" operator="containsText" text="ложь">
      <formula>NOT(ISERROR(SEARCH("ложь",F54)))</formula>
    </cfRule>
  </conditionalFormatting>
  <conditionalFormatting sqref="AJ33:AS34 AJ19:AO32">
    <cfRule type="containsText" dxfId="1084" priority="174" operator="containsText" text="ложь">
      <formula>NOT(ISERROR(SEARCH("ложь",AJ19)))</formula>
    </cfRule>
  </conditionalFormatting>
  <conditionalFormatting sqref="A16:W34 AT16:AU17 AV16:XFD34 AT33:AU34 AU18:AU32">
    <cfRule type="containsText" dxfId="1083" priority="183" operator="containsText" text="ложь">
      <formula>NOT(ISERROR(SEARCH("ложь",A16)))</formula>
    </cfRule>
  </conditionalFormatting>
  <conditionalFormatting sqref="X16:AB34">
    <cfRule type="containsText" dxfId="1082" priority="180" operator="containsText" text="ложь">
      <formula>NOT(ISERROR(SEARCH("ложь",X16)))</formula>
    </cfRule>
  </conditionalFormatting>
  <conditionalFormatting sqref="AC16:AC34">
    <cfRule type="containsText" dxfId="1081" priority="179" operator="containsText" text="ложь">
      <formula>NOT(ISERROR(SEARCH("ложь",AC16)))</formula>
    </cfRule>
  </conditionalFormatting>
  <conditionalFormatting sqref="AD16:AI18">
    <cfRule type="containsText" dxfId="1080" priority="178" operator="containsText" text="ложь">
      <formula>NOT(ISERROR(SEARCH("ложь",AD16)))</formula>
    </cfRule>
  </conditionalFormatting>
  <conditionalFormatting sqref="AD19:AI34">
    <cfRule type="containsText" dxfId="1079" priority="177" operator="containsText" text="ложь">
      <formula>NOT(ISERROR(SEARCH("ложь",AD19)))</formula>
    </cfRule>
  </conditionalFormatting>
  <conditionalFormatting sqref="AJ16:AS17 AJ18:AO18">
    <cfRule type="containsText" dxfId="1078" priority="175" operator="containsText" text="ложь">
      <formula>NOT(ISERROR(SEARCH("ложь",AJ16)))</formula>
    </cfRule>
  </conditionalFormatting>
  <conditionalFormatting sqref="A87">
    <cfRule type="containsText" dxfId="1077" priority="172" operator="containsText" text="ложь">
      <formula>NOT(ISERROR(SEARCH("ложь",A87)))</formula>
    </cfRule>
  </conditionalFormatting>
  <conditionalFormatting sqref="A69">
    <cfRule type="containsText" dxfId="1076" priority="173" operator="containsText" text="ложь">
      <formula>NOT(ISERROR(SEARCH("ложь",A69)))</formula>
    </cfRule>
  </conditionalFormatting>
  <conditionalFormatting sqref="A92:C92 K101">
    <cfRule type="containsText" dxfId="1075" priority="165" operator="containsText" text="ложь">
      <formula>NOT(ISERROR(SEARCH("ложь",A92)))</formula>
    </cfRule>
  </conditionalFormatting>
  <conditionalFormatting sqref="X92:AB92">
    <cfRule type="containsText" dxfId="1074" priority="164" operator="containsText" text="ложь">
      <formula>NOT(ISERROR(SEARCH("ложь",X92)))</formula>
    </cfRule>
  </conditionalFormatting>
  <conditionalFormatting sqref="L101:W101">
    <cfRule type="containsText" dxfId="1073" priority="158" operator="containsText" text="ложь">
      <formula>NOT(ISERROR(SEARCH("ложь",L101)))</formula>
    </cfRule>
  </conditionalFormatting>
  <conditionalFormatting sqref="X101">
    <cfRule type="containsText" dxfId="1072" priority="157" operator="containsText" text="ложь">
      <formula>NOT(ISERROR(SEARCH("ложь",X101)))</formula>
    </cfRule>
  </conditionalFormatting>
  <conditionalFormatting sqref="Y101">
    <cfRule type="containsText" dxfId="1071" priority="156" operator="containsText" text="ложь">
      <formula>NOT(ISERROR(SEARCH("ложь",Y101)))</formula>
    </cfRule>
  </conditionalFormatting>
  <conditionalFormatting sqref="Z101:AB101">
    <cfRule type="containsText" dxfId="1070" priority="155" operator="containsText" text="ложь">
      <formula>NOT(ISERROR(SEARCH("ложь",Z101)))</formula>
    </cfRule>
  </conditionalFormatting>
  <conditionalFormatting sqref="AD92:AI92">
    <cfRule type="containsText" dxfId="1069" priority="149" operator="containsText" text="ложь">
      <formula>NOT(ISERROR(SEARCH("ложь",AD92)))</formula>
    </cfRule>
  </conditionalFormatting>
  <conditionalFormatting sqref="AC101">
    <cfRule type="containsText" dxfId="1068" priority="148" operator="containsText" text="ложь">
      <formula>NOT(ISERROR(SEARCH("ложь",AC101)))</formula>
    </cfRule>
  </conditionalFormatting>
  <conditionalFormatting sqref="AD101:AI101">
    <cfRule type="containsText" dxfId="1067" priority="144" operator="containsText" text="ложь">
      <formula>NOT(ISERROR(SEARCH("ложь",AD101)))</formula>
    </cfRule>
  </conditionalFormatting>
  <conditionalFormatting sqref="AJ92:AO92">
    <cfRule type="containsText" dxfId="1066" priority="142" operator="containsText" text="ложь">
      <formula>NOT(ISERROR(SEARCH("ложь",AJ92)))</formula>
    </cfRule>
  </conditionalFormatting>
  <conditionalFormatting sqref="AJ101">
    <cfRule type="containsText" dxfId="1065" priority="139" operator="containsText" text="ложь">
      <formula>NOT(ISERROR(SEARCH("ложь",AJ101)))</formula>
    </cfRule>
  </conditionalFormatting>
  <conditionalFormatting sqref="E92">
    <cfRule type="containsText" dxfId="1064" priority="137" operator="containsText" text="ложь">
      <formula>NOT(ISERROR(SEARCH("ложь",E92)))</formula>
    </cfRule>
  </conditionalFormatting>
  <conditionalFormatting sqref="D92">
    <cfRule type="containsText" dxfId="1063" priority="136" operator="containsText" text="ложь">
      <formula>NOT(ISERROR(SEARCH("ложь",D92)))</formula>
    </cfRule>
  </conditionalFormatting>
  <conditionalFormatting sqref="F92:J92">
    <cfRule type="containsText" dxfId="1062" priority="135" operator="containsText" text="ложь">
      <formula>NOT(ISERROR(SEARCH("ложь",F92)))</formula>
    </cfRule>
  </conditionalFormatting>
  <conditionalFormatting sqref="D101">
    <cfRule type="containsText" dxfId="1061" priority="133" operator="containsText" text="ложь">
      <formula>NOT(ISERROR(SEARCH("ложь",D101)))</formula>
    </cfRule>
  </conditionalFormatting>
  <conditionalFormatting sqref="F101:J101">
    <cfRule type="containsText" dxfId="1060" priority="130" operator="containsText" text="ложь">
      <formula>NOT(ISERROR(SEARCH("ложь",F101)))</formula>
    </cfRule>
  </conditionalFormatting>
  <conditionalFormatting sqref="A93:A99 A101">
    <cfRule type="containsText" dxfId="1059" priority="128" operator="containsText" text="ложь">
      <formula>NOT(ISERROR(SEARCH("ложь",A93)))</formula>
    </cfRule>
  </conditionalFormatting>
  <conditionalFormatting sqref="A100">
    <cfRule type="containsText" dxfId="1058" priority="127" operator="containsText" text="ложь">
      <formula>NOT(ISERROR(SEARCH("ложь",A100)))</formula>
    </cfRule>
  </conditionalFormatting>
  <conditionalFormatting sqref="A107:A111">
    <cfRule type="containsText" dxfId="1057" priority="126" operator="containsText" text="ложь">
      <formula>NOT(ISERROR(SEARCH("ложь",A107)))</formula>
    </cfRule>
  </conditionalFormatting>
  <conditionalFormatting sqref="K106:W106 AC106">
    <cfRule type="containsText" dxfId="1056" priority="125" operator="containsText" text="ложь">
      <formula>NOT(ISERROR(SEARCH("ложь",K106)))</formula>
    </cfRule>
  </conditionalFormatting>
  <conditionalFormatting sqref="A106:C106">
    <cfRule type="containsText" dxfId="1055" priority="124" operator="containsText" text="ложь">
      <formula>NOT(ISERROR(SEARCH("ложь",A106)))</formula>
    </cfRule>
  </conditionalFormatting>
  <conditionalFormatting sqref="X106:AB106">
    <cfRule type="containsText" dxfId="1054" priority="123" operator="containsText" text="ложь">
      <formula>NOT(ISERROR(SEARCH("ложь",X106)))</formula>
    </cfRule>
  </conditionalFormatting>
  <conditionalFormatting sqref="AD106:AI106">
    <cfRule type="containsText" dxfId="1053" priority="122" operator="containsText" text="ложь">
      <formula>NOT(ISERROR(SEARCH("ложь",AD106)))</formula>
    </cfRule>
  </conditionalFormatting>
  <conditionalFormatting sqref="AJ106:AO106">
    <cfRule type="containsText" dxfId="1052" priority="121" operator="containsText" text="ложь">
      <formula>NOT(ISERROR(SEARCH("ложь",AJ106)))</formula>
    </cfRule>
  </conditionalFormatting>
  <conditionalFormatting sqref="E106">
    <cfRule type="containsText" dxfId="1051" priority="120" operator="containsText" text="ложь">
      <formula>NOT(ISERROR(SEARCH("ложь",E106)))</formula>
    </cfRule>
  </conditionalFormatting>
  <conditionalFormatting sqref="D106">
    <cfRule type="containsText" dxfId="1050" priority="119" operator="containsText" text="ложь">
      <formula>NOT(ISERROR(SEARCH("ложь",D106)))</formula>
    </cfRule>
  </conditionalFormatting>
  <conditionalFormatting sqref="F106:J106">
    <cfRule type="containsText" dxfId="1049" priority="118" operator="containsText" text="ложь">
      <formula>NOT(ISERROR(SEARCH("ложь",F106)))</formula>
    </cfRule>
  </conditionalFormatting>
  <conditionalFormatting sqref="AK85:AO86">
    <cfRule type="containsText" dxfId="1048" priority="113" operator="containsText" text="ложь">
      <formula>NOT(ISERROR(SEARCH("ложь",AK85)))</formula>
    </cfRule>
  </conditionalFormatting>
  <conditionalFormatting sqref="AK84:AO84">
    <cfRule type="containsText" dxfId="1047" priority="112" operator="containsText" text="ложь">
      <formula>NOT(ISERROR(SEARCH("ложь",AK84)))</formula>
    </cfRule>
  </conditionalFormatting>
  <conditionalFormatting sqref="AK82:AO82">
    <cfRule type="containsText" dxfId="1046" priority="111" operator="containsText" text="ложь">
      <formula>NOT(ISERROR(SEARCH("ложь",AK82)))</formula>
    </cfRule>
  </conditionalFormatting>
  <conditionalFormatting sqref="AK83:AO83">
    <cfRule type="containsText" dxfId="1045" priority="110" operator="containsText" text="ложь">
      <formula>NOT(ISERROR(SEARCH("ложь",AK83)))</formula>
    </cfRule>
  </conditionalFormatting>
  <conditionalFormatting sqref="AK93:AO100">
    <cfRule type="containsText" dxfId="1044" priority="109" operator="containsText" text="ложь">
      <formula>NOT(ISERROR(SEARCH("ложь",AK93)))</formula>
    </cfRule>
  </conditionalFormatting>
  <conditionalFormatting sqref="AK101:AO101">
    <cfRule type="containsText" dxfId="1043" priority="108" operator="containsText" text="ложь">
      <formula>NOT(ISERROR(SEARCH("ложь",AK101)))</formula>
    </cfRule>
  </conditionalFormatting>
  <conditionalFormatting sqref="AK9:AO10">
    <cfRule type="containsText" dxfId="1042" priority="107" operator="containsText" text="ложь">
      <formula>NOT(ISERROR(SEARCH("ложь",AK9)))</formula>
    </cfRule>
  </conditionalFormatting>
  <conditionalFormatting sqref="AK8:AO8">
    <cfRule type="containsText" dxfId="1041" priority="106" operator="containsText" text="ложь">
      <formula>NOT(ISERROR(SEARCH("ложь",AK8)))</formula>
    </cfRule>
  </conditionalFormatting>
  <conditionalFormatting sqref="AK36:AO46 AK48:AO49">
    <cfRule type="containsText" dxfId="1040" priority="105" operator="containsText" text="ложь">
      <formula>NOT(ISERROR(SEARCH("ложь",AK36)))</formula>
    </cfRule>
  </conditionalFormatting>
  <conditionalFormatting sqref="AK47:AO47">
    <cfRule type="containsText" dxfId="1039" priority="104" operator="containsText" text="ложь">
      <formula>NOT(ISERROR(SEARCH("ложь",AK47)))</formula>
    </cfRule>
  </conditionalFormatting>
  <conditionalFormatting sqref="AP7:AT7">
    <cfRule type="containsText" dxfId="1038" priority="84" operator="containsText" text="ложь">
      <formula>NOT(ISERROR(SEARCH("ложь",AP7)))</formula>
    </cfRule>
  </conditionalFormatting>
  <conditionalFormatting sqref="AP1:AT1">
    <cfRule type="containsText" dxfId="1037" priority="83" operator="containsText" text="ложь">
      <formula>NOT(ISERROR(SEARCH("ложь",AP1)))</formula>
    </cfRule>
  </conditionalFormatting>
  <conditionalFormatting sqref="AP18:AT18">
    <cfRule type="containsText" dxfId="1036" priority="82" operator="containsText" text="ложь">
      <formula>NOT(ISERROR(SEARCH("ложь",AP18)))</formula>
    </cfRule>
  </conditionalFormatting>
  <conditionalFormatting sqref="AP35:AT35">
    <cfRule type="containsText" dxfId="1035" priority="81" operator="containsText" text="ложь">
      <formula>NOT(ISERROR(SEARCH("ложь",AP35)))</formula>
    </cfRule>
  </conditionalFormatting>
  <conditionalFormatting sqref="AP54:AT54">
    <cfRule type="containsText" dxfId="1034" priority="80" operator="containsText" text="ложь">
      <formula>NOT(ISERROR(SEARCH("ложь",AP54)))</formula>
    </cfRule>
  </conditionalFormatting>
  <conditionalFormatting sqref="AP72:AT72">
    <cfRule type="containsText" dxfId="1033" priority="79" operator="containsText" text="ложь">
      <formula>NOT(ISERROR(SEARCH("ложь",AP72)))</formula>
    </cfRule>
  </conditionalFormatting>
  <conditionalFormatting sqref="AP92:AT92">
    <cfRule type="containsText" dxfId="1032" priority="78" operator="containsText" text="ложь">
      <formula>NOT(ISERROR(SEARCH("ложь",AP92)))</formula>
    </cfRule>
  </conditionalFormatting>
  <conditionalFormatting sqref="AP106:AT106">
    <cfRule type="containsText" dxfId="1031" priority="77" operator="containsText" text="ложь">
      <formula>NOT(ISERROR(SEARCH("ложь",AP106)))</formula>
    </cfRule>
  </conditionalFormatting>
  <conditionalFormatting sqref="AP9:AQ10">
    <cfRule type="containsText" dxfId="1030" priority="52" operator="containsText" text="ложь">
      <formula>NOT(ISERROR(SEARCH("ложь",AP9)))</formula>
    </cfRule>
  </conditionalFormatting>
  <conditionalFormatting sqref="AP8:AQ8">
    <cfRule type="containsText" dxfId="1029" priority="51" operator="containsText" text="ложь">
      <formula>NOT(ISERROR(SEARCH("ложь",AP8)))</formula>
    </cfRule>
  </conditionalFormatting>
  <conditionalFormatting sqref="AP19:AQ32">
    <cfRule type="containsText" dxfId="1028" priority="50" operator="containsText" text="ложь">
      <formula>NOT(ISERROR(SEARCH("ложь",AP19)))</formula>
    </cfRule>
  </conditionalFormatting>
  <conditionalFormatting sqref="AP36:AQ46 AP48:AQ49">
    <cfRule type="containsText" dxfId="1027" priority="49" operator="containsText" text="ложь">
      <formula>NOT(ISERROR(SEARCH("ложь",AP36)))</formula>
    </cfRule>
  </conditionalFormatting>
  <conditionalFormatting sqref="AP47:AQ47">
    <cfRule type="containsText" dxfId="1026" priority="48" operator="containsText" text="ложь">
      <formula>NOT(ISERROR(SEARCH("ложь",AP47)))</formula>
    </cfRule>
  </conditionalFormatting>
  <conditionalFormatting sqref="AP55:AQ68">
    <cfRule type="containsText" dxfId="1025" priority="47" operator="containsText" text="ложь">
      <formula>NOT(ISERROR(SEARCH("ложь",AP55)))</formula>
    </cfRule>
  </conditionalFormatting>
  <conditionalFormatting sqref="AP93:AQ100">
    <cfRule type="containsText" dxfId="1018" priority="40" operator="containsText" text="ложь">
      <formula>NOT(ISERROR(SEARCH("ложь",AP93)))</formula>
    </cfRule>
  </conditionalFormatting>
  <conditionalFormatting sqref="AP101:AQ101">
    <cfRule type="containsText" dxfId="1017" priority="39" operator="containsText" text="ложь">
      <formula>NOT(ISERROR(SEARCH("ложь",AP101)))</formula>
    </cfRule>
  </conditionalFormatting>
  <conditionalFormatting sqref="AP107:AQ111">
    <cfRule type="containsText" dxfId="1016" priority="38" operator="containsText" text="ложь">
      <formula>NOT(ISERROR(SEARCH("ложь",AP107)))</formula>
    </cfRule>
  </conditionalFormatting>
  <conditionalFormatting sqref="AR9:AT10">
    <cfRule type="containsText" dxfId="1015" priority="37" operator="containsText" text="ложь">
      <formula>NOT(ISERROR(SEARCH("ложь",AR9)))</formula>
    </cfRule>
  </conditionalFormatting>
  <conditionalFormatting sqref="AR8:AT8">
    <cfRule type="containsText" dxfId="1014" priority="36" operator="containsText" text="ложь">
      <formula>NOT(ISERROR(SEARCH("ложь",AR8)))</formula>
    </cfRule>
  </conditionalFormatting>
  <conditionalFormatting sqref="AR19:AT32">
    <cfRule type="containsText" dxfId="1013" priority="35" operator="containsText" text="ложь">
      <formula>NOT(ISERROR(SEARCH("ложь",AR19)))</formula>
    </cfRule>
  </conditionalFormatting>
  <conditionalFormatting sqref="AR36:AT46 AR48:AT49">
    <cfRule type="containsText" dxfId="1012" priority="34" operator="containsText" text="ложь">
      <formula>NOT(ISERROR(SEARCH("ложь",AR36)))</formula>
    </cfRule>
  </conditionalFormatting>
  <conditionalFormatting sqref="AR47:AT47">
    <cfRule type="containsText" dxfId="1011" priority="33" operator="containsText" text="ложь">
      <formula>NOT(ISERROR(SEARCH("ложь",AR47)))</formula>
    </cfRule>
  </conditionalFormatting>
  <conditionalFormatting sqref="AR55:AT68">
    <cfRule type="containsText" dxfId="1010" priority="32" operator="containsText" text="ложь">
      <formula>NOT(ISERROR(SEARCH("ложь",AR55)))</formula>
    </cfRule>
  </conditionalFormatting>
  <conditionalFormatting sqref="AR93:AT100">
    <cfRule type="containsText" dxfId="1003" priority="25" operator="containsText" text="ложь">
      <formula>NOT(ISERROR(SEARCH("ложь",AR93)))</formula>
    </cfRule>
  </conditionalFormatting>
  <conditionalFormatting sqref="AR101:AT101">
    <cfRule type="containsText" dxfId="1002" priority="24" operator="containsText" text="ложь">
      <formula>NOT(ISERROR(SEARCH("ложь",AR101)))</formula>
    </cfRule>
  </conditionalFormatting>
  <conditionalFormatting sqref="AR107:AT111">
    <cfRule type="containsText" dxfId="1001" priority="23" operator="containsText" text="ложь">
      <formula>NOT(ISERROR(SEARCH("ложь",AR107)))</formula>
    </cfRule>
  </conditionalFormatting>
  <conditionalFormatting sqref="F62:J62">
    <cfRule type="containsText" dxfId="1000" priority="22" operator="containsText" text="ложь">
      <formula>NOT(ISERROR(SEARCH("ложь",F62)))</formula>
    </cfRule>
  </conditionalFormatting>
  <conditionalFormatting sqref="F64:J65">
    <cfRule type="containsText" dxfId="999" priority="21" operator="containsText" text="ложь">
      <formula>NOT(ISERROR(SEARCH("ложь",F64)))</formula>
    </cfRule>
  </conditionalFormatting>
  <conditionalFormatting sqref="L64:P65">
    <cfRule type="containsText" dxfId="998" priority="20" operator="containsText" text="ложь">
      <formula>NOT(ISERROR(SEARCH("ложь",L64)))</formula>
    </cfRule>
  </conditionalFormatting>
  <conditionalFormatting sqref="R64:V65">
    <cfRule type="containsText" dxfId="997" priority="19" operator="containsText" text="ложь">
      <formula>NOT(ISERROR(SEARCH("ложь",R64)))</formula>
    </cfRule>
  </conditionalFormatting>
  <conditionalFormatting sqref="X64:AA65">
    <cfRule type="containsText" dxfId="996" priority="18" operator="containsText" text="ложь">
      <formula>NOT(ISERROR(SEARCH("ложь",X64)))</formula>
    </cfRule>
  </conditionalFormatting>
  <conditionalFormatting sqref="D82">
    <cfRule type="containsText" dxfId="995" priority="17" operator="containsText" text="ложь">
      <formula>NOT(ISERROR(SEARCH("ложь",D82)))</formula>
    </cfRule>
  </conditionalFormatting>
  <conditionalFormatting sqref="D83">
    <cfRule type="containsText" dxfId="994" priority="16" operator="containsText" text="ложь">
      <formula>NOT(ISERROR(SEARCH("ложь",D83)))</formula>
    </cfRule>
  </conditionalFormatting>
  <conditionalFormatting sqref="F82:J83">
    <cfRule type="containsText" dxfId="993" priority="15" operator="containsText" text="ложь">
      <formula>NOT(ISERROR(SEARCH("ложь",F82)))</formula>
    </cfRule>
  </conditionalFormatting>
  <conditionalFormatting sqref="L82:P83">
    <cfRule type="containsText" dxfId="992" priority="14" operator="containsText" text="ложь">
      <formula>NOT(ISERROR(SEARCH("ложь",L82)))</formula>
    </cfRule>
  </conditionalFormatting>
  <conditionalFormatting sqref="R82:U83">
    <cfRule type="containsText" dxfId="991" priority="13" operator="containsText" text="ложь">
      <formula>NOT(ISERROR(SEARCH("ложь",R82)))</formula>
    </cfRule>
  </conditionalFormatting>
  <conditionalFormatting sqref="AP74:AQ81">
    <cfRule type="containsText" dxfId="11" priority="12" operator="containsText" text="ложь">
      <formula>NOT(ISERROR(SEARCH("ложь",AP74)))</formula>
    </cfRule>
  </conditionalFormatting>
  <conditionalFormatting sqref="AP73:AQ73">
    <cfRule type="containsText" dxfId="10" priority="11" operator="containsText" text="ложь">
      <formula>NOT(ISERROR(SEARCH("ложь",AP73)))</formula>
    </cfRule>
  </conditionalFormatting>
  <conditionalFormatting sqref="AP85:AQ86">
    <cfRule type="containsText" dxfId="9" priority="10" operator="containsText" text="ложь">
      <formula>NOT(ISERROR(SEARCH("ложь",AP85)))</formula>
    </cfRule>
  </conditionalFormatting>
  <conditionalFormatting sqref="AP84:AQ84">
    <cfRule type="containsText" dxfId="8" priority="9" operator="containsText" text="ложь">
      <formula>NOT(ISERROR(SEARCH("ложь",AP84)))</formula>
    </cfRule>
  </conditionalFormatting>
  <conditionalFormatting sqref="AP82:AQ82">
    <cfRule type="containsText" dxfId="7" priority="8" operator="containsText" text="ложь">
      <formula>NOT(ISERROR(SEARCH("ложь",AP82)))</formula>
    </cfRule>
  </conditionalFormatting>
  <conditionalFormatting sqref="AP83:AQ83">
    <cfRule type="containsText" dxfId="6" priority="7" operator="containsText" text="ложь">
      <formula>NOT(ISERROR(SEARCH("ложь",AP83)))</formula>
    </cfRule>
  </conditionalFormatting>
  <conditionalFormatting sqref="AR74:AT81">
    <cfRule type="containsText" dxfId="5" priority="6" operator="containsText" text="ложь">
      <formula>NOT(ISERROR(SEARCH("ложь",AR74)))</formula>
    </cfRule>
  </conditionalFormatting>
  <conditionalFormatting sqref="AR73:AT73">
    <cfRule type="containsText" dxfId="4" priority="5" operator="containsText" text="ложь">
      <formula>NOT(ISERROR(SEARCH("ложь",AR73)))</formula>
    </cfRule>
  </conditionalFormatting>
  <conditionalFormatting sqref="AR85:AT86">
    <cfRule type="containsText" dxfId="3" priority="4" operator="containsText" text="ложь">
      <formula>NOT(ISERROR(SEARCH("ложь",AR85)))</formula>
    </cfRule>
  </conditionalFormatting>
  <conditionalFormatting sqref="AR84:AT84">
    <cfRule type="containsText" dxfId="2" priority="3" operator="containsText" text="ложь">
      <formula>NOT(ISERROR(SEARCH("ложь",AR84)))</formula>
    </cfRule>
  </conditionalFormatting>
  <conditionalFormatting sqref="AR82:AT82">
    <cfRule type="containsText" dxfId="1" priority="2" operator="containsText" text="ложь">
      <formula>NOT(ISERROR(SEARCH("ложь",AR82)))</formula>
    </cfRule>
  </conditionalFormatting>
  <conditionalFormatting sqref="AR83:AT83">
    <cfRule type="containsText" dxfId="0" priority="1" operator="containsText" text="ложь">
      <formula>NOT(ISERROR(SEARCH("ложь",AR83)))</formula>
    </cfRule>
  </conditionalFormatting>
  <hyperlinks>
    <hyperlink ref="A113" location="Contents!A1" display="Contents!A1" xr:uid="{00000000-0004-0000-0500-000000000000}"/>
  </hyperlinks>
  <pageMargins left="0.7" right="0.7" top="0.75" bottom="0.75" header="0.3" footer="0.3"/>
  <pageSetup paperSize="9" scale="3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AT40"/>
  <sheetViews>
    <sheetView showGridLines="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97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5" width="10.710937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5" width="10.7109375" style="20" customWidth="1"/>
    <col min="46" max="16384" width="9.140625" style="20"/>
  </cols>
  <sheetData>
    <row r="1" spans="1:46" s="220" customFormat="1" ht="15" customHeight="1" x14ac:dyDescent="0.2">
      <c r="B1" s="453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6" ht="15" customHeight="1" x14ac:dyDescent="0.2">
      <c r="A2" s="335" t="str">
        <f>IF(Contents!$A$1=2,"WEST QURNA-2","Западная Курна-2")</f>
        <v>Западная Курна-2</v>
      </c>
      <c r="B2" s="292"/>
    </row>
    <row r="3" spans="1:46" ht="15" customHeight="1" thickBot="1" x14ac:dyDescent="0.25">
      <c r="A3" s="132"/>
      <c r="B3" s="293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6" ht="15" customHeight="1" thickTop="1" x14ac:dyDescent="0.2"/>
    <row r="5" spans="1:46" s="70" customFormat="1" ht="15" customHeight="1" x14ac:dyDescent="0.25">
      <c r="A5" s="39" t="str">
        <f>IF(Contents!$A$1=2,"Accrual","Начисления")</f>
        <v>Начисления</v>
      </c>
      <c r="B5" s="292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239"/>
      <c r="X5" s="45"/>
      <c r="Y5" s="45"/>
      <c r="Z5" s="45"/>
      <c r="AA5" s="45"/>
      <c r="AB5" s="45"/>
      <c r="AC5" s="239"/>
      <c r="AD5" s="45"/>
      <c r="AE5" s="45"/>
      <c r="AF5" s="45"/>
      <c r="AG5" s="45"/>
      <c r="AH5" s="45"/>
      <c r="AI5" s="239"/>
      <c r="AJ5" s="45"/>
      <c r="AK5" s="45"/>
      <c r="AL5" s="45"/>
      <c r="AM5" s="45"/>
      <c r="AN5" s="45"/>
      <c r="AO5" s="239"/>
      <c r="AP5" s="45"/>
      <c r="AQ5" s="45"/>
      <c r="AR5" s="45"/>
      <c r="AS5" s="45"/>
    </row>
    <row r="6" spans="1:46" ht="15" customHeight="1" x14ac:dyDescent="0.2">
      <c r="A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  <c r="AN6" s="19"/>
      <c r="AO6" s="233"/>
      <c r="AP6" s="19"/>
      <c r="AQ6" s="19"/>
      <c r="AR6" s="19"/>
      <c r="AS6" s="19"/>
    </row>
    <row r="7" spans="1:46" ht="15" customHeight="1" x14ac:dyDescent="0.2">
      <c r="A7" s="156"/>
      <c r="B7" s="300"/>
      <c r="C7" s="157"/>
      <c r="D7" s="317">
        <v>2014</v>
      </c>
      <c r="E7" s="324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17">
        <v>2015</v>
      </c>
      <c r="K7" s="324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17">
        <v>2016</v>
      </c>
      <c r="Q7" s="324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17">
        <v>2017</v>
      </c>
      <c r="W7" s="324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17">
        <v>2018</v>
      </c>
      <c r="AC7" s="324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17">
        <v>2019</v>
      </c>
      <c r="AI7" s="324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17">
        <v>2020</v>
      </c>
      <c r="AO7" s="324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17">
        <v>2021</v>
      </c>
    </row>
    <row r="8" spans="1:46" ht="15" customHeight="1" x14ac:dyDescent="0.2">
      <c r="A8" s="159" t="str">
        <f>IF(Contents!$A$1=2,"Total production","Общая добыча нефти на месторождении")</f>
        <v>Общая добыча нефти на месторождении</v>
      </c>
      <c r="B8" s="301" t="str">
        <f>IF(Contents!$A$1=2,"th. t","тыс. т")</f>
        <v>тыс. т</v>
      </c>
      <c r="C8" s="47"/>
      <c r="D8" s="429">
        <v>11030</v>
      </c>
      <c r="E8" s="429"/>
      <c r="F8" s="429">
        <v>3889</v>
      </c>
      <c r="G8" s="429">
        <v>4521</v>
      </c>
      <c r="H8" s="429">
        <v>6043</v>
      </c>
      <c r="I8" s="429">
        <v>5965</v>
      </c>
      <c r="J8" s="429">
        <v>20418</v>
      </c>
      <c r="K8" s="429"/>
      <c r="L8" s="429">
        <v>5542</v>
      </c>
      <c r="M8" s="429">
        <v>5400</v>
      </c>
      <c r="N8" s="429">
        <v>5430</v>
      </c>
      <c r="O8" s="429">
        <v>5398</v>
      </c>
      <c r="P8" s="429">
        <v>21770</v>
      </c>
      <c r="Q8" s="430"/>
      <c r="R8" s="429">
        <v>5242</v>
      </c>
      <c r="S8" s="429">
        <v>5212</v>
      </c>
      <c r="T8" s="429">
        <v>5190</v>
      </c>
      <c r="U8" s="429">
        <v>5149</v>
      </c>
      <c r="V8" s="429">
        <v>20793</v>
      </c>
      <c r="W8" s="430"/>
      <c r="X8" s="429">
        <v>4795</v>
      </c>
      <c r="Y8" s="429">
        <v>5098</v>
      </c>
      <c r="Z8" s="429">
        <v>5207</v>
      </c>
      <c r="AA8" s="429">
        <v>5285</v>
      </c>
      <c r="AB8" s="429">
        <v>20385</v>
      </c>
      <c r="AC8" s="430"/>
      <c r="AD8" s="429">
        <v>4718</v>
      </c>
      <c r="AE8" s="429">
        <v>5291</v>
      </c>
      <c r="AF8" s="429">
        <v>5428</v>
      </c>
      <c r="AG8" s="429">
        <v>5423</v>
      </c>
      <c r="AH8" s="429">
        <v>20860</v>
      </c>
      <c r="AI8" s="430"/>
      <c r="AJ8" s="429">
        <v>5364</v>
      </c>
      <c r="AK8" s="429">
        <v>4652</v>
      </c>
      <c r="AL8" s="429">
        <v>3948</v>
      </c>
      <c r="AM8" s="429">
        <v>4208</v>
      </c>
      <c r="AN8" s="429">
        <v>18172</v>
      </c>
      <c r="AO8" s="430"/>
      <c r="AP8" s="429">
        <v>4046</v>
      </c>
      <c r="AQ8" s="429">
        <v>4711</v>
      </c>
      <c r="AR8" s="429">
        <v>4663</v>
      </c>
      <c r="AS8" s="429">
        <v>5146</v>
      </c>
      <c r="AT8" s="429">
        <v>18566</v>
      </c>
    </row>
    <row r="9" spans="1:46" ht="14.25" x14ac:dyDescent="0.2">
      <c r="A9" s="160" t="str">
        <f>IF(Contents!$A$1=2,"Production related to cost compensation and remuneration","Добыча нефти, относящаяся к возмещению затрат и вознаграждению")</f>
        <v>Добыча нефти, относящаяся к возмещению затрат и вознаграждению</v>
      </c>
      <c r="B9" s="301" t="str">
        <f>IF(Contents!$A$1=2,"th. t","тыс. т")</f>
        <v>тыс. т</v>
      </c>
      <c r="C9" s="47"/>
      <c r="D9" s="429">
        <v>6087</v>
      </c>
      <c r="E9" s="429"/>
      <c r="F9" s="429">
        <v>2059</v>
      </c>
      <c r="G9" s="429">
        <v>2353</v>
      </c>
      <c r="H9" s="429">
        <v>3146</v>
      </c>
      <c r="I9" s="429">
        <v>3167</v>
      </c>
      <c r="J9" s="429">
        <v>10725</v>
      </c>
      <c r="K9" s="429"/>
      <c r="L9" s="429">
        <v>2601</v>
      </c>
      <c r="M9" s="429">
        <v>909</v>
      </c>
      <c r="N9" s="429">
        <v>967</v>
      </c>
      <c r="O9" s="429">
        <v>587</v>
      </c>
      <c r="P9" s="429">
        <v>5064</v>
      </c>
      <c r="Q9" s="430"/>
      <c r="R9" s="429">
        <v>405</v>
      </c>
      <c r="S9" s="429">
        <v>482</v>
      </c>
      <c r="T9" s="429">
        <v>539</v>
      </c>
      <c r="U9" s="429">
        <v>396</v>
      </c>
      <c r="V9" s="429">
        <v>1822</v>
      </c>
      <c r="W9" s="430"/>
      <c r="X9" s="429">
        <v>451</v>
      </c>
      <c r="Y9" s="429">
        <v>318</v>
      </c>
      <c r="Z9" s="429">
        <v>469</v>
      </c>
      <c r="AA9" s="429">
        <v>276</v>
      </c>
      <c r="AB9" s="429">
        <v>1514</v>
      </c>
      <c r="AC9" s="430"/>
      <c r="AD9" s="429">
        <v>365</v>
      </c>
      <c r="AE9" s="429">
        <v>410</v>
      </c>
      <c r="AF9" s="429">
        <v>417</v>
      </c>
      <c r="AG9" s="429">
        <v>424</v>
      </c>
      <c r="AH9" s="429">
        <v>1616</v>
      </c>
      <c r="AI9" s="430"/>
      <c r="AJ9" s="429">
        <v>721</v>
      </c>
      <c r="AK9" s="429">
        <v>1094</v>
      </c>
      <c r="AL9" s="429">
        <v>565</v>
      </c>
      <c r="AM9" s="429">
        <v>463</v>
      </c>
      <c r="AN9" s="429">
        <v>2843</v>
      </c>
      <c r="AO9" s="430"/>
      <c r="AP9" s="429">
        <v>609</v>
      </c>
      <c r="AQ9" s="429">
        <v>460</v>
      </c>
      <c r="AR9" s="429">
        <v>271</v>
      </c>
      <c r="AS9" s="429">
        <v>488</v>
      </c>
      <c r="AT9" s="429">
        <v>1828</v>
      </c>
    </row>
    <row r="10" spans="1:46" ht="15" customHeight="1" x14ac:dyDescent="0.2">
      <c r="A10" s="148" t="str">
        <f>IF(Contents!$A$1=2,"Accrued revenues","Начисленные доходы")</f>
        <v>Начисленные доходы</v>
      </c>
      <c r="B10" s="301"/>
      <c r="C10" s="47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30"/>
      <c r="R10" s="429"/>
      <c r="S10" s="429"/>
      <c r="T10" s="429"/>
      <c r="U10" s="429"/>
      <c r="V10" s="429"/>
      <c r="W10" s="430"/>
      <c r="X10" s="429"/>
      <c r="Y10" s="429"/>
      <c r="Z10" s="429"/>
      <c r="AA10" s="429"/>
      <c r="AB10" s="429"/>
      <c r="AC10" s="430"/>
      <c r="AD10" s="429"/>
      <c r="AE10" s="429"/>
      <c r="AF10" s="429"/>
      <c r="AG10" s="429"/>
      <c r="AH10" s="429"/>
      <c r="AI10" s="430"/>
      <c r="AJ10" s="429"/>
      <c r="AK10" s="429"/>
      <c r="AL10" s="429"/>
      <c r="AM10" s="429"/>
      <c r="AN10" s="429"/>
      <c r="AO10" s="430"/>
      <c r="AP10" s="429"/>
      <c r="AQ10" s="429"/>
      <c r="AR10" s="429"/>
      <c r="AS10" s="429"/>
      <c r="AT10" s="429"/>
    </row>
    <row r="11" spans="1:46" ht="15" customHeight="1" x14ac:dyDescent="0.2">
      <c r="A11" s="151" t="str">
        <f>IF(Contents!$A$1=2,"Cost compensation","Выручка по возмещению затрат")</f>
        <v>Выручка по возмещению затрат</v>
      </c>
      <c r="B11" s="301" t="str">
        <f>IF(Contents!$A$1=2,"mln RUB","млн руб.")</f>
        <v>млн руб.</v>
      </c>
      <c r="C11" s="47"/>
      <c r="D11" s="429">
        <v>138934</v>
      </c>
      <c r="E11" s="429"/>
      <c r="F11" s="429">
        <v>38061</v>
      </c>
      <c r="G11" s="429">
        <v>45440</v>
      </c>
      <c r="H11" s="429">
        <v>53658</v>
      </c>
      <c r="I11" s="429">
        <v>39632</v>
      </c>
      <c r="J11" s="429">
        <v>176791</v>
      </c>
      <c r="K11" s="429"/>
      <c r="L11" s="429">
        <v>29479</v>
      </c>
      <c r="M11" s="429">
        <v>13381</v>
      </c>
      <c r="N11" s="429">
        <v>10210</v>
      </c>
      <c r="O11" s="429">
        <v>9928</v>
      </c>
      <c r="P11" s="429">
        <v>62998</v>
      </c>
      <c r="Q11" s="430"/>
      <c r="R11" s="429">
        <v>6488</v>
      </c>
      <c r="S11" s="429">
        <v>8074</v>
      </c>
      <c r="T11" s="429">
        <v>7712</v>
      </c>
      <c r="U11" s="429">
        <v>10048</v>
      </c>
      <c r="V11" s="429">
        <v>32322</v>
      </c>
      <c r="W11" s="430"/>
      <c r="X11" s="429">
        <v>7749</v>
      </c>
      <c r="Y11" s="429">
        <v>8829</v>
      </c>
      <c r="Z11" s="429">
        <v>9538</v>
      </c>
      <c r="AA11" s="429">
        <v>6549</v>
      </c>
      <c r="AB11" s="429">
        <v>32665</v>
      </c>
      <c r="AC11" s="430"/>
      <c r="AD11" s="429">
        <v>8125</v>
      </c>
      <c r="AE11" s="429">
        <v>10081</v>
      </c>
      <c r="AF11" s="429">
        <v>8553</v>
      </c>
      <c r="AG11" s="429">
        <v>9077</v>
      </c>
      <c r="AH11" s="429">
        <v>35836</v>
      </c>
      <c r="AI11" s="430"/>
      <c r="AJ11" s="429">
        <v>14087</v>
      </c>
      <c r="AK11" s="429">
        <v>9288</v>
      </c>
      <c r="AL11" s="429">
        <v>8441</v>
      </c>
      <c r="AM11" s="429">
        <v>10788</v>
      </c>
      <c r="AN11" s="429">
        <v>42604</v>
      </c>
      <c r="AO11" s="430"/>
      <c r="AP11" s="429">
        <v>14805</v>
      </c>
      <c r="AQ11" s="429">
        <v>7617</v>
      </c>
      <c r="AR11" s="429">
        <v>9561</v>
      </c>
      <c r="AS11" s="429">
        <v>20136</v>
      </c>
      <c r="AT11" s="429">
        <v>52119</v>
      </c>
    </row>
    <row r="12" spans="1:46" ht="15" customHeight="1" x14ac:dyDescent="0.2">
      <c r="A12" s="153" t="str">
        <f>IF(Contents!$A$1=2,"Remuneration fee","Вознаграждение")</f>
        <v>Вознаграждение</v>
      </c>
      <c r="B12" s="301" t="str">
        <f>IF(Contents!$A$1=2,"mln RUB","млн руб.")</f>
        <v>млн руб.</v>
      </c>
      <c r="C12" s="47"/>
      <c r="D12" s="429">
        <v>2536</v>
      </c>
      <c r="E12" s="429"/>
      <c r="F12" s="429">
        <v>1866</v>
      </c>
      <c r="G12" s="429">
        <v>1580</v>
      </c>
      <c r="H12" s="429">
        <v>2267</v>
      </c>
      <c r="I12" s="429">
        <v>2374</v>
      </c>
      <c r="J12" s="429">
        <v>8087</v>
      </c>
      <c r="K12" s="429"/>
      <c r="L12" s="429">
        <v>2439</v>
      </c>
      <c r="M12" s="429">
        <v>2097</v>
      </c>
      <c r="N12" s="429">
        <v>2067</v>
      </c>
      <c r="O12" s="429">
        <v>2009</v>
      </c>
      <c r="P12" s="429">
        <v>8612</v>
      </c>
      <c r="Q12" s="430"/>
      <c r="R12" s="429">
        <v>1146</v>
      </c>
      <c r="S12" s="429">
        <v>573</v>
      </c>
      <c r="T12" s="429">
        <v>1810</v>
      </c>
      <c r="U12" s="429">
        <v>1778</v>
      </c>
      <c r="V12" s="429">
        <v>5307</v>
      </c>
      <c r="W12" s="430"/>
      <c r="X12" s="429">
        <v>1610</v>
      </c>
      <c r="Y12" s="429">
        <v>1856</v>
      </c>
      <c r="Z12" s="429">
        <v>4108</v>
      </c>
      <c r="AA12" s="429">
        <v>2111</v>
      </c>
      <c r="AB12" s="429">
        <v>9685</v>
      </c>
      <c r="AC12" s="430"/>
      <c r="AD12" s="429">
        <v>1846</v>
      </c>
      <c r="AE12" s="429">
        <v>2076</v>
      </c>
      <c r="AF12" s="429">
        <v>2066</v>
      </c>
      <c r="AG12" s="429">
        <v>2035</v>
      </c>
      <c r="AH12" s="429">
        <v>8023</v>
      </c>
      <c r="AI12" s="430"/>
      <c r="AJ12" s="429">
        <v>2103</v>
      </c>
      <c r="AK12" s="429">
        <v>2288</v>
      </c>
      <c r="AL12" s="429">
        <v>1409</v>
      </c>
      <c r="AM12" s="429">
        <v>1894</v>
      </c>
      <c r="AN12" s="429">
        <v>7694</v>
      </c>
      <c r="AO12" s="430"/>
      <c r="AP12" s="429">
        <v>1765</v>
      </c>
      <c r="AQ12" s="429">
        <v>2065</v>
      </c>
      <c r="AR12" s="429">
        <v>2002</v>
      </c>
      <c r="AS12" s="429">
        <v>2219</v>
      </c>
      <c r="AT12" s="429">
        <v>8051</v>
      </c>
    </row>
    <row r="13" spans="1:46" ht="15" customHeight="1" x14ac:dyDescent="0.2">
      <c r="A13" s="148" t="str">
        <f>IF(Contents!$A$1=2,"Accrued expenses","Начисленные расходы")</f>
        <v>Начисленные расходы</v>
      </c>
      <c r="B13" s="301"/>
      <c r="C13" s="47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30"/>
      <c r="R13" s="429"/>
      <c r="S13" s="429"/>
      <c r="T13" s="429"/>
      <c r="U13" s="429"/>
      <c r="V13" s="429"/>
      <c r="W13" s="430"/>
      <c r="X13" s="429"/>
      <c r="Y13" s="429"/>
      <c r="Z13" s="429"/>
      <c r="AA13" s="429"/>
      <c r="AB13" s="429"/>
      <c r="AC13" s="430"/>
      <c r="AD13" s="429"/>
      <c r="AE13" s="429"/>
      <c r="AF13" s="429"/>
      <c r="AG13" s="429"/>
      <c r="AH13" s="429"/>
      <c r="AI13" s="430"/>
      <c r="AJ13" s="429"/>
      <c r="AK13" s="429"/>
      <c r="AL13" s="429"/>
      <c r="AM13" s="429"/>
      <c r="AN13" s="429"/>
      <c r="AO13" s="430"/>
      <c r="AP13" s="429"/>
      <c r="AQ13" s="429"/>
      <c r="AR13" s="429"/>
      <c r="AS13" s="429"/>
      <c r="AT13" s="429"/>
    </row>
    <row r="14" spans="1:46" ht="15" customHeight="1" x14ac:dyDescent="0.2">
      <c r="A14" s="151" t="str">
        <f>IF(Contents!$A$1=2,"Extraction expenses","Затраты на добычу углеводородов")</f>
        <v>Затраты на добычу углеводородов</v>
      </c>
      <c r="B14" s="301" t="str">
        <f>IF(Contents!$A$1=2,"mln RUB","млн руб.")</f>
        <v>млн руб.</v>
      </c>
      <c r="C14" s="47"/>
      <c r="D14" s="429">
        <v>22736</v>
      </c>
      <c r="E14" s="429"/>
      <c r="F14" s="429">
        <v>12563</v>
      </c>
      <c r="G14" s="429">
        <v>11373</v>
      </c>
      <c r="H14" s="429">
        <v>11273</v>
      </c>
      <c r="I14" s="429">
        <v>12068</v>
      </c>
      <c r="J14" s="429">
        <v>47277</v>
      </c>
      <c r="K14" s="429"/>
      <c r="L14" s="429">
        <v>10203</v>
      </c>
      <c r="M14" s="429">
        <v>8407</v>
      </c>
      <c r="N14" s="429">
        <v>6741</v>
      </c>
      <c r="O14" s="429">
        <v>5880</v>
      </c>
      <c r="P14" s="429">
        <v>31231</v>
      </c>
      <c r="Q14" s="430"/>
      <c r="R14" s="429">
        <v>4322</v>
      </c>
      <c r="S14" s="429">
        <v>4721</v>
      </c>
      <c r="T14" s="429">
        <v>3641</v>
      </c>
      <c r="U14" s="429">
        <v>3494</v>
      </c>
      <c r="V14" s="429">
        <v>16178</v>
      </c>
      <c r="W14" s="430"/>
      <c r="X14" s="429">
        <v>3575</v>
      </c>
      <c r="Y14" s="429">
        <v>4261</v>
      </c>
      <c r="Z14" s="429">
        <v>4743</v>
      </c>
      <c r="AA14" s="429">
        <v>5009</v>
      </c>
      <c r="AB14" s="429">
        <v>17588</v>
      </c>
      <c r="AC14" s="430"/>
      <c r="AD14" s="429">
        <v>4757</v>
      </c>
      <c r="AE14" s="429">
        <v>4269</v>
      </c>
      <c r="AF14" s="429">
        <v>3851</v>
      </c>
      <c r="AG14" s="429">
        <v>4133</v>
      </c>
      <c r="AH14" s="429">
        <v>17010</v>
      </c>
      <c r="AI14" s="430"/>
      <c r="AJ14" s="429">
        <v>4344</v>
      </c>
      <c r="AK14" s="429">
        <v>4109</v>
      </c>
      <c r="AL14" s="429">
        <v>3821</v>
      </c>
      <c r="AM14" s="429">
        <v>4938</v>
      </c>
      <c r="AN14" s="429">
        <v>17212</v>
      </c>
      <c r="AO14" s="430"/>
      <c r="AP14" s="429">
        <v>4204</v>
      </c>
      <c r="AQ14" s="429">
        <v>3919</v>
      </c>
      <c r="AR14" s="429">
        <v>4187</v>
      </c>
      <c r="AS14" s="429">
        <v>4178</v>
      </c>
      <c r="AT14" s="429">
        <v>16488</v>
      </c>
    </row>
    <row r="15" spans="1:46" ht="15" customHeight="1" x14ac:dyDescent="0.2">
      <c r="A15" s="151" t="str">
        <f>IF(Contents!$A$1=2,"Depreciation, depletion and amortization","Износ и амортизация")</f>
        <v>Износ и амортизация</v>
      </c>
      <c r="B15" s="301" t="str">
        <f>IF(Contents!$A$1=2,"mln RUB","млн руб.")</f>
        <v>млн руб.</v>
      </c>
      <c r="C15" s="47"/>
      <c r="D15" s="429">
        <v>114497</v>
      </c>
      <c r="E15" s="429"/>
      <c r="F15" s="429">
        <v>22887</v>
      </c>
      <c r="G15" s="429">
        <v>34173</v>
      </c>
      <c r="H15" s="429">
        <v>42447</v>
      </c>
      <c r="I15" s="429">
        <v>27564</v>
      </c>
      <c r="J15" s="429">
        <v>127071</v>
      </c>
      <c r="K15" s="429"/>
      <c r="L15" s="429">
        <v>19377</v>
      </c>
      <c r="M15" s="429">
        <v>4968</v>
      </c>
      <c r="N15" s="429">
        <v>3117</v>
      </c>
      <c r="O15" s="429">
        <v>3976</v>
      </c>
      <c r="P15" s="429">
        <v>31438</v>
      </c>
      <c r="Q15" s="430"/>
      <c r="R15" s="429">
        <v>2246</v>
      </c>
      <c r="S15" s="429">
        <v>3430</v>
      </c>
      <c r="T15" s="429">
        <v>4150</v>
      </c>
      <c r="U15" s="429">
        <v>6628</v>
      </c>
      <c r="V15" s="429">
        <v>16454</v>
      </c>
      <c r="W15" s="430"/>
      <c r="X15" s="429">
        <v>4251</v>
      </c>
      <c r="Y15" s="429">
        <v>4560</v>
      </c>
      <c r="Z15" s="429">
        <v>4826</v>
      </c>
      <c r="AA15" s="429">
        <v>1581</v>
      </c>
      <c r="AB15" s="429">
        <v>15218</v>
      </c>
      <c r="AC15" s="430"/>
      <c r="AD15" s="429">
        <v>3407</v>
      </c>
      <c r="AE15" s="429">
        <v>5820</v>
      </c>
      <c r="AF15" s="429">
        <v>4735</v>
      </c>
      <c r="AG15" s="429">
        <v>4988</v>
      </c>
      <c r="AH15" s="429">
        <v>18950</v>
      </c>
      <c r="AI15" s="430"/>
      <c r="AJ15" s="429">
        <v>9812</v>
      </c>
      <c r="AK15" s="429">
        <v>5200</v>
      </c>
      <c r="AL15" s="429">
        <v>4678</v>
      </c>
      <c r="AM15" s="429">
        <v>5940</v>
      </c>
      <c r="AN15" s="429">
        <v>25630</v>
      </c>
      <c r="AO15" s="430"/>
      <c r="AP15" s="429">
        <v>10601</v>
      </c>
      <c r="AQ15" s="429">
        <v>3712</v>
      </c>
      <c r="AR15" s="429">
        <v>5415</v>
      </c>
      <c r="AS15" s="429">
        <v>16000</v>
      </c>
      <c r="AT15" s="429">
        <v>35728</v>
      </c>
    </row>
    <row r="16" spans="1:46" s="203" customFormat="1" ht="15" customHeight="1" x14ac:dyDescent="0.25">
      <c r="A16" s="148" t="str">
        <f>IF(Contents!$A$1=2,"EBITDA","EBITDA")</f>
        <v>EBITDA</v>
      </c>
      <c r="B16" s="302" t="str">
        <f>IF(Contents!$A$1=2,"mln RUB","млн руб.")</f>
        <v>млн руб.</v>
      </c>
      <c r="C16" s="64"/>
      <c r="D16" s="511">
        <v>118120</v>
      </c>
      <c r="E16" s="511"/>
      <c r="F16" s="512">
        <v>27240</v>
      </c>
      <c r="G16" s="512">
        <v>35594</v>
      </c>
      <c r="H16" s="512">
        <v>44526</v>
      </c>
      <c r="I16" s="512">
        <v>29806</v>
      </c>
      <c r="J16" s="511">
        <v>137166</v>
      </c>
      <c r="K16" s="511"/>
      <c r="L16" s="511">
        <v>21494</v>
      </c>
      <c r="M16" s="511">
        <v>6890</v>
      </c>
      <c r="N16" s="511">
        <v>5454</v>
      </c>
      <c r="O16" s="511">
        <v>5630</v>
      </c>
      <c r="P16" s="511">
        <v>39468</v>
      </c>
      <c r="Q16" s="512"/>
      <c r="R16" s="511">
        <v>2943</v>
      </c>
      <c r="S16" s="511">
        <v>3843</v>
      </c>
      <c r="T16" s="511">
        <v>5799</v>
      </c>
      <c r="U16" s="511">
        <v>4603</v>
      </c>
      <c r="V16" s="511">
        <v>17188</v>
      </c>
      <c r="W16" s="512"/>
      <c r="X16" s="511">
        <v>5735</v>
      </c>
      <c r="Y16" s="511">
        <v>6297</v>
      </c>
      <c r="Z16" s="511">
        <v>9144</v>
      </c>
      <c r="AA16" s="511">
        <v>4254</v>
      </c>
      <c r="AB16" s="511">
        <v>25430</v>
      </c>
      <c r="AC16" s="512"/>
      <c r="AD16" s="511">
        <v>5112</v>
      </c>
      <c r="AE16" s="511">
        <v>7794</v>
      </c>
      <c r="AF16" s="511">
        <v>6679</v>
      </c>
      <c r="AG16" s="511">
        <v>2105</v>
      </c>
      <c r="AH16" s="511">
        <v>21690</v>
      </c>
      <c r="AI16" s="512"/>
      <c r="AJ16" s="511">
        <v>11412</v>
      </c>
      <c r="AK16" s="511">
        <v>7253</v>
      </c>
      <c r="AL16" s="511">
        <v>6215</v>
      </c>
      <c r="AM16" s="511">
        <v>7116</v>
      </c>
      <c r="AN16" s="511">
        <v>31996</v>
      </c>
      <c r="AO16" s="512"/>
      <c r="AP16" s="511">
        <v>12074</v>
      </c>
      <c r="AQ16" s="511">
        <v>5946</v>
      </c>
      <c r="AR16" s="511">
        <v>7738</v>
      </c>
      <c r="AS16" s="511">
        <v>17573</v>
      </c>
      <c r="AT16" s="511">
        <v>43331</v>
      </c>
    </row>
    <row r="17" spans="1:46" ht="15" customHeight="1" x14ac:dyDescent="0.2">
      <c r="A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19"/>
      <c r="Q17" s="233"/>
      <c r="R17" s="47"/>
      <c r="S17" s="47"/>
      <c r="T17" s="47"/>
      <c r="U17" s="47"/>
      <c r="V17" s="19"/>
      <c r="W17" s="233"/>
      <c r="X17" s="47"/>
      <c r="Y17" s="47"/>
      <c r="Z17" s="47"/>
      <c r="AA17" s="47"/>
      <c r="AB17" s="19"/>
      <c r="AC17" s="233"/>
      <c r="AD17" s="47"/>
      <c r="AE17" s="47"/>
      <c r="AF17" s="47"/>
      <c r="AG17" s="47"/>
      <c r="AH17" s="19"/>
      <c r="AI17" s="233"/>
      <c r="AJ17" s="47"/>
      <c r="AK17" s="47"/>
      <c r="AL17" s="47"/>
      <c r="AM17" s="47"/>
      <c r="AN17" s="19"/>
      <c r="AO17" s="233"/>
      <c r="AP17" s="19"/>
      <c r="AQ17" s="19"/>
      <c r="AR17" s="19"/>
      <c r="AS17" s="19"/>
    </row>
    <row r="18" spans="1:46" ht="15" customHeight="1" x14ac:dyDescent="0.2">
      <c r="A18" s="156"/>
      <c r="B18" s="298"/>
      <c r="C18" s="157"/>
      <c r="D18" s="317">
        <v>2014</v>
      </c>
      <c r="E18" s="324"/>
      <c r="F18" s="325" t="str">
        <f>IF(Contents!$A$1=2,"1Q","1 кв")</f>
        <v>1 кв</v>
      </c>
      <c r="G18" s="325" t="str">
        <f>IF(Contents!$A$1=2,"2Q","2 кв")</f>
        <v>2 кв</v>
      </c>
      <c r="H18" s="325" t="str">
        <f>IF(Contents!$A$1=2,"3Q","3 кв")</f>
        <v>3 кв</v>
      </c>
      <c r="I18" s="325" t="str">
        <f>IF(Contents!$A$1=2,"4Q","4 кв")</f>
        <v>4 кв</v>
      </c>
      <c r="J18" s="317">
        <v>2015</v>
      </c>
      <c r="K18" s="324"/>
      <c r="L18" s="325" t="str">
        <f>IF(Contents!$A$1=2,"1Q","1 кв")</f>
        <v>1 кв</v>
      </c>
      <c r="M18" s="325" t="str">
        <f>IF(Contents!$A$1=2,"2Q","2 кв")</f>
        <v>2 кв</v>
      </c>
      <c r="N18" s="325" t="str">
        <f>IF(Contents!$A$1=2,"3Q","3 кв")</f>
        <v>3 кв</v>
      </c>
      <c r="O18" s="325" t="str">
        <f>IF(Contents!$A$1=2,"4Q","4 кв")</f>
        <v>4 кв</v>
      </c>
      <c r="P18" s="317">
        <v>2016</v>
      </c>
      <c r="Q18" s="324"/>
      <c r="R18" s="325" t="str">
        <f>IF(Contents!$A$1=2,"1Q","1 кв")</f>
        <v>1 кв</v>
      </c>
      <c r="S18" s="325" t="str">
        <f>IF(Contents!$A$1=2,"2Q","2 кв")</f>
        <v>2 кв</v>
      </c>
      <c r="T18" s="325" t="str">
        <f>IF(Contents!$A$1=2,"3Q","3 кв")</f>
        <v>3 кв</v>
      </c>
      <c r="U18" s="325" t="str">
        <f>IF(Contents!$A$1=2,"4Q","4 кв")</f>
        <v>4 кв</v>
      </c>
      <c r="V18" s="317">
        <v>2017</v>
      </c>
      <c r="W18" s="324"/>
      <c r="X18" s="325" t="str">
        <f>IF(Contents!$A$1=2,"1Q","1 кв")</f>
        <v>1 кв</v>
      </c>
      <c r="Y18" s="325" t="str">
        <f>IF(Contents!$A$1=2,"2Q","2 кв")</f>
        <v>2 кв</v>
      </c>
      <c r="Z18" s="325" t="str">
        <f>IF(Contents!$A$1=2,"3Q","3 кв")</f>
        <v>3 кв</v>
      </c>
      <c r="AA18" s="325" t="str">
        <f>IF(Contents!$A$1=2,"4Q","4 кв")</f>
        <v>4 кв</v>
      </c>
      <c r="AB18" s="317">
        <v>2018</v>
      </c>
      <c r="AC18" s="324"/>
      <c r="AD18" s="325" t="str">
        <f>IF(Contents!$A$1=2,"1Q","1 кв")</f>
        <v>1 кв</v>
      </c>
      <c r="AE18" s="325" t="str">
        <f>IF(Contents!$A$1=2,"2Q","2 кв")</f>
        <v>2 кв</v>
      </c>
      <c r="AF18" s="325" t="str">
        <f>IF(Contents!$A$1=2,"3Q","3 кв")</f>
        <v>3 кв</v>
      </c>
      <c r="AG18" s="325" t="str">
        <f>IF(Contents!$A$1=2,"4Q","4 кв")</f>
        <v>4 кв</v>
      </c>
      <c r="AH18" s="317">
        <v>2019</v>
      </c>
      <c r="AI18" s="324"/>
      <c r="AJ18" s="325" t="str">
        <f>IF(Contents!$A$1=2,"1Q","1 кв")</f>
        <v>1 кв</v>
      </c>
      <c r="AK18" s="325" t="str">
        <f>IF(Contents!$A$1=2,"2Q","2 кв")</f>
        <v>2 кв</v>
      </c>
      <c r="AL18" s="325" t="str">
        <f>IF(Contents!$A$1=2,"3Q","3 кв")</f>
        <v>3 кв</v>
      </c>
      <c r="AM18" s="325" t="str">
        <f>IF(Contents!$A$1=2,"4Q","4 кв")</f>
        <v>4 кв</v>
      </c>
      <c r="AN18" s="317">
        <v>2020</v>
      </c>
      <c r="AO18" s="324"/>
      <c r="AP18" s="325" t="str">
        <f>IF(Contents!$A$1=2,"1Q","1 кв")</f>
        <v>1 кв</v>
      </c>
      <c r="AQ18" s="325" t="str">
        <f>IF(Contents!$A$1=2,"2Q","2 кв")</f>
        <v>2 кв</v>
      </c>
      <c r="AR18" s="325" t="str">
        <f>IF(Contents!$A$1=2,"3Q","3 кв")</f>
        <v>3 кв</v>
      </c>
      <c r="AS18" s="325" t="str">
        <f>IF(Contents!$A$1=2,"4Q","4 кв")</f>
        <v>4 кв</v>
      </c>
      <c r="AT18" s="317">
        <v>2021</v>
      </c>
    </row>
    <row r="19" spans="1:46" ht="15" customHeight="1" x14ac:dyDescent="0.2">
      <c r="A19" s="159" t="str">
        <f>IF(Contents!$A$1=2,"Total production","Общая добыча нефти на месторождении")</f>
        <v>Общая добыча нефти на месторождении</v>
      </c>
      <c r="B19" s="294" t="str">
        <f>IF(Contents!$A$1=2,"th. bbl","тыс. барр.")</f>
        <v>тыс. барр.</v>
      </c>
      <c r="C19" s="47"/>
      <c r="D19" s="429">
        <v>75655</v>
      </c>
      <c r="E19" s="513"/>
      <c r="F19" s="429">
        <v>26673</v>
      </c>
      <c r="G19" s="513">
        <v>31013</v>
      </c>
      <c r="H19" s="513">
        <v>41448</v>
      </c>
      <c r="I19" s="513">
        <v>40937</v>
      </c>
      <c r="J19" s="513">
        <v>140071</v>
      </c>
      <c r="K19" s="513"/>
      <c r="L19" s="513">
        <v>38018</v>
      </c>
      <c r="M19" s="513">
        <v>37044</v>
      </c>
      <c r="N19" s="513">
        <v>37249</v>
      </c>
      <c r="O19" s="513">
        <v>37030</v>
      </c>
      <c r="P19" s="513">
        <v>149341</v>
      </c>
      <c r="Q19" s="440"/>
      <c r="R19" s="513">
        <v>35960</v>
      </c>
      <c r="S19" s="513">
        <v>35755</v>
      </c>
      <c r="T19" s="513">
        <v>35605</v>
      </c>
      <c r="U19" s="513">
        <v>34904</v>
      </c>
      <c r="V19" s="513">
        <v>142224</v>
      </c>
      <c r="W19" s="440"/>
      <c r="X19" s="513">
        <v>32801</v>
      </c>
      <c r="Y19" s="513">
        <v>34869</v>
      </c>
      <c r="Z19" s="513">
        <v>35614</v>
      </c>
      <c r="AA19" s="513">
        <v>36146</v>
      </c>
      <c r="AB19" s="513">
        <v>139430</v>
      </c>
      <c r="AC19" s="440"/>
      <c r="AD19" s="513">
        <v>32274</v>
      </c>
      <c r="AE19" s="513">
        <v>36185</v>
      </c>
      <c r="AF19" s="513">
        <v>37127</v>
      </c>
      <c r="AG19" s="513">
        <v>37098</v>
      </c>
      <c r="AH19" s="513">
        <v>142684</v>
      </c>
      <c r="AI19" s="440"/>
      <c r="AJ19" s="513">
        <v>36688</v>
      </c>
      <c r="AK19" s="513">
        <v>31822</v>
      </c>
      <c r="AL19" s="513">
        <v>27002</v>
      </c>
      <c r="AM19" s="513">
        <v>28783</v>
      </c>
      <c r="AN19" s="513">
        <v>124295</v>
      </c>
      <c r="AO19" s="440"/>
      <c r="AP19" s="513">
        <v>27675</v>
      </c>
      <c r="AQ19" s="513">
        <v>32221</v>
      </c>
      <c r="AR19" s="513">
        <v>31899</v>
      </c>
      <c r="AS19" s="513">
        <v>35196</v>
      </c>
      <c r="AT19" s="513">
        <v>126991</v>
      </c>
    </row>
    <row r="20" spans="1:46" ht="14.25" x14ac:dyDescent="0.2">
      <c r="A20" s="160" t="str">
        <f>IF(Contents!$A$1=2,"Production related to cost compensation and remuneration","Добыча нефти, относящаяся к возмещению затрат и вознаграждению")</f>
        <v>Добыча нефти, относящаяся к возмещению затрат и вознаграждению</v>
      </c>
      <c r="B20" s="294" t="str">
        <f>IF(Contents!$A$1=2,"th. bbl","тыс. барр.")</f>
        <v>тыс. барр.</v>
      </c>
      <c r="C20" s="47"/>
      <c r="D20" s="429">
        <v>41749</v>
      </c>
      <c r="E20" s="513"/>
      <c r="F20" s="429">
        <v>14121</v>
      </c>
      <c r="G20" s="513">
        <v>16139</v>
      </c>
      <c r="H20" s="513">
        <v>21583</v>
      </c>
      <c r="I20" s="513">
        <v>21731</v>
      </c>
      <c r="J20" s="513">
        <v>73574</v>
      </c>
      <c r="K20" s="513"/>
      <c r="L20" s="513">
        <v>17840</v>
      </c>
      <c r="M20" s="513">
        <v>6241</v>
      </c>
      <c r="N20" s="513">
        <v>6633</v>
      </c>
      <c r="O20" s="513">
        <v>4028</v>
      </c>
      <c r="P20" s="513">
        <v>34742</v>
      </c>
      <c r="Q20" s="440"/>
      <c r="R20" s="513">
        <v>2775</v>
      </c>
      <c r="S20" s="513">
        <v>3309</v>
      </c>
      <c r="T20" s="513">
        <v>3700</v>
      </c>
      <c r="U20" s="513">
        <v>2682</v>
      </c>
      <c r="V20" s="513">
        <v>12466</v>
      </c>
      <c r="W20" s="440"/>
      <c r="X20" s="513">
        <v>3088</v>
      </c>
      <c r="Y20" s="513">
        <v>2175</v>
      </c>
      <c r="Z20" s="513">
        <v>3206</v>
      </c>
      <c r="AA20" s="513">
        <v>1886</v>
      </c>
      <c r="AB20" s="513">
        <v>10355</v>
      </c>
      <c r="AC20" s="440"/>
      <c r="AD20" s="513">
        <v>2498</v>
      </c>
      <c r="AE20" s="513">
        <v>2800</v>
      </c>
      <c r="AF20" s="513">
        <v>2854</v>
      </c>
      <c r="AG20" s="513">
        <v>2902</v>
      </c>
      <c r="AH20" s="513">
        <v>11054</v>
      </c>
      <c r="AI20" s="440"/>
      <c r="AJ20" s="513">
        <v>4930</v>
      </c>
      <c r="AK20" s="513">
        <v>7485</v>
      </c>
      <c r="AL20" s="513">
        <v>3864</v>
      </c>
      <c r="AM20" s="513">
        <v>3168</v>
      </c>
      <c r="AN20" s="513">
        <v>19447</v>
      </c>
      <c r="AO20" s="440"/>
      <c r="AP20" s="513">
        <v>4166</v>
      </c>
      <c r="AQ20" s="513">
        <v>3144</v>
      </c>
      <c r="AR20" s="513">
        <v>1853</v>
      </c>
      <c r="AS20" s="513">
        <v>3343</v>
      </c>
      <c r="AT20" s="513">
        <v>12506</v>
      </c>
    </row>
    <row r="21" spans="1:46" ht="15" customHeight="1" x14ac:dyDescent="0.2">
      <c r="A21" s="148" t="str">
        <f>IF(Contents!$A$1=2,"Accrued revenues","Начисленные доходы")</f>
        <v>Начисленные доходы</v>
      </c>
      <c r="B21" s="294"/>
      <c r="C21" s="47"/>
      <c r="D21" s="429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440"/>
      <c r="R21" s="513"/>
      <c r="S21" s="513"/>
      <c r="T21" s="513"/>
      <c r="U21" s="513"/>
      <c r="V21" s="513"/>
      <c r="W21" s="440"/>
      <c r="X21" s="513"/>
      <c r="Y21" s="513"/>
      <c r="Z21" s="513"/>
      <c r="AA21" s="513"/>
      <c r="AB21" s="513"/>
      <c r="AC21" s="440"/>
      <c r="AD21" s="513"/>
      <c r="AE21" s="513"/>
      <c r="AF21" s="513"/>
      <c r="AG21" s="513"/>
      <c r="AH21" s="513"/>
      <c r="AI21" s="440"/>
      <c r="AJ21" s="513"/>
      <c r="AK21" s="513"/>
      <c r="AL21" s="513"/>
      <c r="AM21" s="513"/>
      <c r="AN21" s="513"/>
      <c r="AO21" s="440"/>
      <c r="AP21" s="513"/>
      <c r="AQ21" s="513"/>
      <c r="AR21" s="513"/>
      <c r="AS21" s="513"/>
      <c r="AT21" s="513"/>
    </row>
    <row r="22" spans="1:46" ht="15" customHeight="1" x14ac:dyDescent="0.2">
      <c r="A22" s="151" t="str">
        <f>IF(Contents!$A$1=2,"Cost compensation","Выручка по возмещению затрат")</f>
        <v>Выручка по возмещению затрат</v>
      </c>
      <c r="B22" s="294" t="str">
        <f>IF(Contents!$A$1=2,"mln USD","млн долл.")</f>
        <v>млн долл.</v>
      </c>
      <c r="C22" s="47"/>
      <c r="D22" s="429">
        <v>3616</v>
      </c>
      <c r="E22" s="513"/>
      <c r="F22" s="429">
        <v>612</v>
      </c>
      <c r="G22" s="514">
        <v>863</v>
      </c>
      <c r="H22" s="514">
        <v>852</v>
      </c>
      <c r="I22" s="514">
        <v>601</v>
      </c>
      <c r="J22" s="513">
        <v>2928</v>
      </c>
      <c r="K22" s="513"/>
      <c r="L22" s="513">
        <v>395</v>
      </c>
      <c r="M22" s="514">
        <v>203</v>
      </c>
      <c r="N22" s="513">
        <v>158</v>
      </c>
      <c r="O22" s="513">
        <v>158</v>
      </c>
      <c r="P22" s="513">
        <v>914</v>
      </c>
      <c r="Q22" s="440"/>
      <c r="R22" s="513">
        <v>110</v>
      </c>
      <c r="S22" s="513">
        <v>141</v>
      </c>
      <c r="T22" s="513">
        <v>131</v>
      </c>
      <c r="U22" s="513">
        <v>172</v>
      </c>
      <c r="V22" s="513">
        <v>554</v>
      </c>
      <c r="W22" s="440"/>
      <c r="X22" s="440">
        <v>136</v>
      </c>
      <c r="Y22" s="440">
        <v>143</v>
      </c>
      <c r="Z22" s="440">
        <v>146</v>
      </c>
      <c r="AA22" s="440">
        <v>98</v>
      </c>
      <c r="AB22" s="440">
        <v>523</v>
      </c>
      <c r="AC22" s="440"/>
      <c r="AD22" s="440">
        <v>123</v>
      </c>
      <c r="AE22" s="440">
        <v>156</v>
      </c>
      <c r="AF22" s="440">
        <v>133</v>
      </c>
      <c r="AG22" s="440">
        <v>142</v>
      </c>
      <c r="AH22" s="440">
        <v>554</v>
      </c>
      <c r="AI22" s="440"/>
      <c r="AJ22" s="440">
        <v>212</v>
      </c>
      <c r="AK22" s="440">
        <v>129</v>
      </c>
      <c r="AL22" s="440">
        <v>114</v>
      </c>
      <c r="AM22" s="440">
        <v>142</v>
      </c>
      <c r="AN22" s="440">
        <v>597</v>
      </c>
      <c r="AO22" s="440"/>
      <c r="AP22" s="440">
        <v>199</v>
      </c>
      <c r="AQ22" s="440">
        <v>103</v>
      </c>
      <c r="AR22" s="440">
        <v>130</v>
      </c>
      <c r="AS22" s="440">
        <v>277</v>
      </c>
      <c r="AT22" s="440">
        <v>709</v>
      </c>
    </row>
    <row r="23" spans="1:46" ht="15" customHeight="1" x14ac:dyDescent="0.2">
      <c r="A23" s="153" t="str">
        <f>IF(Contents!$A$1=2,"Remuneration fee","Вознаграждение")</f>
        <v>Вознаграждение</v>
      </c>
      <c r="B23" s="294" t="str">
        <f>IF(Contents!$A$1=2,"mln USD","млн долл.")</f>
        <v>млн долл.</v>
      </c>
      <c r="C23" s="47"/>
      <c r="D23" s="429">
        <v>66</v>
      </c>
      <c r="E23" s="513"/>
      <c r="F23" s="429">
        <v>30</v>
      </c>
      <c r="G23" s="514">
        <v>30</v>
      </c>
      <c r="H23" s="514">
        <v>36</v>
      </c>
      <c r="I23" s="514">
        <v>36</v>
      </c>
      <c r="J23" s="513">
        <v>132</v>
      </c>
      <c r="K23" s="513"/>
      <c r="L23" s="513">
        <v>33</v>
      </c>
      <c r="M23" s="514">
        <v>32</v>
      </c>
      <c r="N23" s="513">
        <v>31</v>
      </c>
      <c r="O23" s="513">
        <v>32</v>
      </c>
      <c r="P23" s="513">
        <v>128</v>
      </c>
      <c r="Q23" s="440"/>
      <c r="R23" s="513">
        <v>19</v>
      </c>
      <c r="S23" s="513">
        <v>11</v>
      </c>
      <c r="T23" s="513">
        <v>30</v>
      </c>
      <c r="U23" s="513">
        <v>31</v>
      </c>
      <c r="V23" s="513">
        <v>91</v>
      </c>
      <c r="W23" s="440"/>
      <c r="X23" s="440">
        <v>28</v>
      </c>
      <c r="Y23" s="440">
        <v>30</v>
      </c>
      <c r="Z23" s="440">
        <v>63</v>
      </c>
      <c r="AA23" s="440">
        <v>32</v>
      </c>
      <c r="AB23" s="440">
        <v>153</v>
      </c>
      <c r="AC23" s="440"/>
      <c r="AD23" s="440">
        <v>28</v>
      </c>
      <c r="AE23" s="440">
        <v>32</v>
      </c>
      <c r="AF23" s="440">
        <v>32</v>
      </c>
      <c r="AG23" s="440">
        <v>32</v>
      </c>
      <c r="AH23" s="440">
        <v>124</v>
      </c>
      <c r="AI23" s="440"/>
      <c r="AJ23" s="440">
        <v>32</v>
      </c>
      <c r="AK23" s="440">
        <v>31</v>
      </c>
      <c r="AL23" s="440">
        <v>19</v>
      </c>
      <c r="AM23" s="440">
        <v>25</v>
      </c>
      <c r="AN23" s="440">
        <v>107</v>
      </c>
      <c r="AO23" s="440"/>
      <c r="AP23" s="440">
        <v>24</v>
      </c>
      <c r="AQ23" s="440">
        <v>28</v>
      </c>
      <c r="AR23" s="440">
        <v>27</v>
      </c>
      <c r="AS23" s="440">
        <v>30</v>
      </c>
      <c r="AT23" s="440">
        <v>109</v>
      </c>
    </row>
    <row r="24" spans="1:46" ht="15" customHeight="1" x14ac:dyDescent="0.2">
      <c r="A24" s="148" t="str">
        <f>IF(Contents!$A$1=2,"Accrued expenses","Начисленные расходы")</f>
        <v>Начисленные расходы</v>
      </c>
      <c r="B24" s="294"/>
      <c r="C24" s="47"/>
      <c r="D24" s="429"/>
      <c r="E24" s="513"/>
      <c r="F24" s="513"/>
      <c r="G24" s="514"/>
      <c r="H24" s="514"/>
      <c r="I24" s="514"/>
      <c r="J24" s="513"/>
      <c r="K24" s="513"/>
      <c r="L24" s="513"/>
      <c r="M24" s="514"/>
      <c r="N24" s="513"/>
      <c r="O24" s="513"/>
      <c r="P24" s="513"/>
      <c r="Q24" s="440"/>
      <c r="R24" s="513"/>
      <c r="S24" s="513"/>
      <c r="T24" s="513"/>
      <c r="U24" s="513"/>
      <c r="V24" s="513"/>
      <c r="W24" s="440"/>
      <c r="X24" s="513"/>
      <c r="Y24" s="513"/>
      <c r="Z24" s="513"/>
      <c r="AA24" s="513"/>
      <c r="AB24" s="513"/>
      <c r="AC24" s="440"/>
      <c r="AD24" s="513"/>
      <c r="AE24" s="513"/>
      <c r="AF24" s="513"/>
      <c r="AG24" s="513"/>
      <c r="AH24" s="513"/>
      <c r="AI24" s="440"/>
      <c r="AJ24" s="513"/>
      <c r="AK24" s="513"/>
      <c r="AL24" s="513"/>
      <c r="AM24" s="513"/>
      <c r="AN24" s="513"/>
      <c r="AO24" s="440"/>
      <c r="AP24" s="513"/>
      <c r="AQ24" s="513"/>
      <c r="AR24" s="513"/>
      <c r="AS24" s="513"/>
      <c r="AT24" s="513"/>
    </row>
    <row r="25" spans="1:46" ht="15" customHeight="1" x14ac:dyDescent="0.2">
      <c r="A25" s="151" t="str">
        <f>IF(Contents!$A$1=2,"Extraction expenses","Затраты на добычу углеводородов")</f>
        <v>Затраты на добычу углеводородов</v>
      </c>
      <c r="B25" s="294" t="str">
        <f>IF(Contents!$A$1=2,"mln USD","млн долл.")</f>
        <v>млн долл.</v>
      </c>
      <c r="C25" s="47"/>
      <c r="D25" s="429">
        <v>592</v>
      </c>
      <c r="E25" s="513"/>
      <c r="F25" s="429">
        <v>202</v>
      </c>
      <c r="G25" s="514">
        <v>216</v>
      </c>
      <c r="H25" s="514">
        <v>179</v>
      </c>
      <c r="I25" s="514">
        <v>183</v>
      </c>
      <c r="J25" s="513">
        <v>780</v>
      </c>
      <c r="K25" s="513"/>
      <c r="L25" s="513">
        <v>137</v>
      </c>
      <c r="M25" s="514">
        <v>127</v>
      </c>
      <c r="N25" s="513">
        <v>105</v>
      </c>
      <c r="O25" s="513">
        <v>93</v>
      </c>
      <c r="P25" s="513">
        <v>462</v>
      </c>
      <c r="Q25" s="440"/>
      <c r="R25" s="513">
        <v>73</v>
      </c>
      <c r="S25" s="513">
        <v>83</v>
      </c>
      <c r="T25" s="513">
        <v>62</v>
      </c>
      <c r="U25" s="513">
        <v>60</v>
      </c>
      <c r="V25" s="513">
        <v>278</v>
      </c>
      <c r="W25" s="440"/>
      <c r="X25" s="513">
        <v>63</v>
      </c>
      <c r="Y25" s="513">
        <v>69</v>
      </c>
      <c r="Z25" s="513">
        <v>72</v>
      </c>
      <c r="AA25" s="513">
        <v>76</v>
      </c>
      <c r="AB25" s="513">
        <v>280</v>
      </c>
      <c r="AC25" s="440"/>
      <c r="AD25" s="513">
        <v>72</v>
      </c>
      <c r="AE25" s="513">
        <v>66</v>
      </c>
      <c r="AF25" s="513">
        <v>60</v>
      </c>
      <c r="AG25" s="513">
        <v>65</v>
      </c>
      <c r="AH25" s="513">
        <v>263</v>
      </c>
      <c r="AI25" s="440"/>
      <c r="AJ25" s="513">
        <v>65</v>
      </c>
      <c r="AK25" s="513">
        <v>57</v>
      </c>
      <c r="AL25" s="513">
        <v>52</v>
      </c>
      <c r="AM25" s="513">
        <v>65</v>
      </c>
      <c r="AN25" s="513">
        <v>239</v>
      </c>
      <c r="AO25" s="440"/>
      <c r="AP25" s="513">
        <v>57</v>
      </c>
      <c r="AQ25" s="513">
        <v>52</v>
      </c>
      <c r="AR25" s="513">
        <v>57</v>
      </c>
      <c r="AS25" s="513">
        <v>58</v>
      </c>
      <c r="AT25" s="513">
        <v>224</v>
      </c>
    </row>
    <row r="26" spans="1:46" ht="15" customHeight="1" x14ac:dyDescent="0.2">
      <c r="A26" s="151" t="str">
        <f>IF(Contents!$A$1=2,"Depreciation, depletion and amortization","Износ и амортизация")</f>
        <v>Износ и амортизация</v>
      </c>
      <c r="B26" s="294" t="str">
        <f>IF(Contents!$A$1=2,"mln USD","млн долл.")</f>
        <v>млн долл.</v>
      </c>
      <c r="C26" s="47"/>
      <c r="D26" s="429">
        <v>2980</v>
      </c>
      <c r="E26" s="513"/>
      <c r="F26" s="429">
        <v>368</v>
      </c>
      <c r="G26" s="514">
        <v>649</v>
      </c>
      <c r="H26" s="514">
        <v>674</v>
      </c>
      <c r="I26" s="514">
        <v>418</v>
      </c>
      <c r="J26" s="513">
        <v>2109</v>
      </c>
      <c r="K26" s="513"/>
      <c r="L26" s="513">
        <v>257</v>
      </c>
      <c r="M26" s="514">
        <v>73</v>
      </c>
      <c r="N26" s="513">
        <v>54</v>
      </c>
      <c r="O26" s="513">
        <v>63</v>
      </c>
      <c r="P26" s="513">
        <v>447</v>
      </c>
      <c r="Q26" s="440"/>
      <c r="R26" s="513">
        <v>38</v>
      </c>
      <c r="S26" s="513">
        <v>60</v>
      </c>
      <c r="T26" s="513">
        <v>71</v>
      </c>
      <c r="U26" s="513">
        <v>113</v>
      </c>
      <c r="V26" s="513">
        <v>282</v>
      </c>
      <c r="W26" s="440"/>
      <c r="X26" s="513">
        <v>75</v>
      </c>
      <c r="Y26" s="513">
        <v>74</v>
      </c>
      <c r="Z26" s="513">
        <v>73</v>
      </c>
      <c r="AA26" s="513">
        <v>24</v>
      </c>
      <c r="AB26" s="513">
        <v>246</v>
      </c>
      <c r="AC26" s="440"/>
      <c r="AD26" s="513">
        <v>52</v>
      </c>
      <c r="AE26" s="513">
        <v>90</v>
      </c>
      <c r="AF26" s="513">
        <v>73</v>
      </c>
      <c r="AG26" s="513">
        <v>78</v>
      </c>
      <c r="AH26" s="513">
        <v>293</v>
      </c>
      <c r="AI26" s="440"/>
      <c r="AJ26" s="513">
        <v>148</v>
      </c>
      <c r="AK26" s="513">
        <v>72</v>
      </c>
      <c r="AL26" s="513">
        <v>63</v>
      </c>
      <c r="AM26" s="513">
        <v>78</v>
      </c>
      <c r="AN26" s="513">
        <v>361</v>
      </c>
      <c r="AO26" s="440"/>
      <c r="AP26" s="513">
        <v>143</v>
      </c>
      <c r="AQ26" s="513">
        <v>50</v>
      </c>
      <c r="AR26" s="513">
        <v>73</v>
      </c>
      <c r="AS26" s="513">
        <v>221</v>
      </c>
      <c r="AT26" s="513">
        <v>487</v>
      </c>
    </row>
    <row r="27" spans="1:46" s="203" customFormat="1" ht="15" customHeight="1" x14ac:dyDescent="0.25">
      <c r="A27" s="148" t="str">
        <f>IF(Contents!$A$1=2,"EBITDA","EBITDA")</f>
        <v>EBITDA</v>
      </c>
      <c r="B27" s="295" t="str">
        <f>IF(Contents!$A$1=2,"mln USD","млн долл.")</f>
        <v>млн долл.</v>
      </c>
      <c r="C27" s="64"/>
      <c r="D27" s="511">
        <v>3074</v>
      </c>
      <c r="E27" s="515"/>
      <c r="F27" s="512">
        <v>438</v>
      </c>
      <c r="G27" s="516">
        <v>676</v>
      </c>
      <c r="H27" s="516">
        <v>707</v>
      </c>
      <c r="I27" s="516">
        <v>452</v>
      </c>
      <c r="J27" s="515">
        <v>2273</v>
      </c>
      <c r="K27" s="515"/>
      <c r="L27" s="515">
        <v>288</v>
      </c>
      <c r="M27" s="517">
        <v>105</v>
      </c>
      <c r="N27" s="515">
        <v>84</v>
      </c>
      <c r="O27" s="515">
        <v>89</v>
      </c>
      <c r="P27" s="515">
        <v>566</v>
      </c>
      <c r="Q27" s="518"/>
      <c r="R27" s="515">
        <v>50</v>
      </c>
      <c r="S27" s="515">
        <v>67</v>
      </c>
      <c r="T27" s="515">
        <v>99</v>
      </c>
      <c r="U27" s="515">
        <v>78</v>
      </c>
      <c r="V27" s="515">
        <v>294</v>
      </c>
      <c r="W27" s="518"/>
      <c r="X27" s="515">
        <v>101</v>
      </c>
      <c r="Y27" s="515">
        <v>102</v>
      </c>
      <c r="Z27" s="515">
        <v>139</v>
      </c>
      <c r="AA27" s="515">
        <v>64</v>
      </c>
      <c r="AB27" s="515">
        <v>406</v>
      </c>
      <c r="AC27" s="518"/>
      <c r="AD27" s="515">
        <v>77</v>
      </c>
      <c r="AE27" s="515">
        <v>121</v>
      </c>
      <c r="AF27" s="515">
        <v>103</v>
      </c>
      <c r="AG27" s="515">
        <v>33</v>
      </c>
      <c r="AH27" s="515">
        <v>334</v>
      </c>
      <c r="AI27" s="518"/>
      <c r="AJ27" s="515">
        <v>172</v>
      </c>
      <c r="AK27" s="515">
        <v>100</v>
      </c>
      <c r="AL27" s="515">
        <v>85</v>
      </c>
      <c r="AM27" s="515">
        <v>93</v>
      </c>
      <c r="AN27" s="515">
        <v>450</v>
      </c>
      <c r="AO27" s="518"/>
      <c r="AP27" s="515">
        <v>162</v>
      </c>
      <c r="AQ27" s="515">
        <v>81</v>
      </c>
      <c r="AR27" s="515">
        <v>105</v>
      </c>
      <c r="AS27" s="515">
        <v>242</v>
      </c>
      <c r="AT27" s="515">
        <v>590</v>
      </c>
    </row>
    <row r="28" spans="1:46" ht="15" customHeight="1" x14ac:dyDescent="0.2">
      <c r="A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19"/>
      <c r="Q28" s="233"/>
      <c r="R28" s="47"/>
      <c r="S28" s="47"/>
      <c r="T28" s="47"/>
      <c r="U28" s="47"/>
      <c r="V28" s="19"/>
      <c r="W28" s="233"/>
      <c r="X28" s="47"/>
      <c r="Y28" s="47"/>
      <c r="Z28" s="47"/>
      <c r="AA28" s="47"/>
      <c r="AB28" s="19"/>
      <c r="AC28" s="233"/>
      <c r="AD28" s="47"/>
      <c r="AE28" s="47"/>
      <c r="AF28" s="47"/>
      <c r="AG28" s="47"/>
      <c r="AH28" s="19"/>
      <c r="AI28" s="233"/>
      <c r="AJ28" s="47"/>
      <c r="AK28" s="47"/>
      <c r="AL28" s="47"/>
      <c r="AM28" s="47"/>
      <c r="AN28" s="19"/>
      <c r="AO28" s="233"/>
      <c r="AP28" s="19"/>
      <c r="AQ28" s="19"/>
      <c r="AR28" s="19"/>
      <c r="AS28" s="19"/>
    </row>
    <row r="29" spans="1:46" ht="15" customHeight="1" x14ac:dyDescent="0.2">
      <c r="A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19"/>
      <c r="Q29" s="233"/>
      <c r="R29" s="47"/>
      <c r="S29" s="47"/>
      <c r="T29" s="47"/>
      <c r="U29" s="47"/>
      <c r="V29" s="19"/>
      <c r="W29" s="233"/>
      <c r="X29" s="47"/>
      <c r="Y29" s="47"/>
      <c r="Z29" s="47"/>
      <c r="AA29" s="47"/>
      <c r="AB29" s="19"/>
      <c r="AC29" s="233"/>
      <c r="AD29" s="47"/>
      <c r="AE29" s="47"/>
      <c r="AF29" s="47"/>
      <c r="AG29" s="47"/>
      <c r="AH29" s="19"/>
      <c r="AI29" s="233"/>
      <c r="AJ29" s="47"/>
      <c r="AK29" s="47"/>
      <c r="AL29" s="47"/>
      <c r="AM29" s="47"/>
      <c r="AN29" s="19"/>
      <c r="AO29" s="233"/>
      <c r="AP29" s="19"/>
      <c r="AQ29" s="19"/>
      <c r="AR29" s="19"/>
      <c r="AS29" s="19"/>
    </row>
    <row r="30" spans="1:46" ht="15" customHeight="1" x14ac:dyDescent="0.2">
      <c r="A30" s="39" t="str">
        <f>IF(Contents!$A$1=2,"Receipt of compensation crude oil","Получение компенсации")</f>
        <v>Получение компенсации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19"/>
      <c r="Q30" s="233"/>
      <c r="R30" s="47"/>
      <c r="S30" s="47"/>
      <c r="T30" s="47"/>
      <c r="U30" s="47"/>
      <c r="V30" s="19"/>
      <c r="W30" s="233"/>
      <c r="X30" s="47"/>
      <c r="Y30" s="47"/>
      <c r="Z30" s="47"/>
      <c r="AA30" s="47"/>
      <c r="AB30" s="19"/>
      <c r="AC30" s="233"/>
      <c r="AD30" s="47"/>
      <c r="AE30" s="47"/>
      <c r="AF30" s="47"/>
      <c r="AG30" s="47"/>
      <c r="AH30" s="19"/>
      <c r="AI30" s="233"/>
      <c r="AJ30" s="47"/>
      <c r="AK30" s="47"/>
      <c r="AL30" s="47"/>
      <c r="AM30" s="47"/>
      <c r="AN30" s="19"/>
      <c r="AO30" s="233"/>
      <c r="AP30" s="19"/>
      <c r="AQ30" s="19"/>
      <c r="AR30" s="19"/>
      <c r="AS30" s="19"/>
    </row>
    <row r="31" spans="1:46" ht="15" customHeight="1" x14ac:dyDescent="0.2">
      <c r="A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9"/>
      <c r="Q31" s="233"/>
      <c r="R31" s="47"/>
      <c r="S31" s="47"/>
      <c r="T31" s="47"/>
      <c r="U31" s="47"/>
      <c r="V31" s="19"/>
      <c r="W31" s="233"/>
      <c r="X31" s="47"/>
      <c r="Y31" s="47"/>
      <c r="Z31" s="47"/>
      <c r="AA31" s="47"/>
      <c r="AB31" s="19"/>
      <c r="AC31" s="233"/>
      <c r="AD31" s="47"/>
      <c r="AE31" s="47"/>
      <c r="AF31" s="47"/>
      <c r="AG31" s="47"/>
      <c r="AH31" s="19"/>
      <c r="AI31" s="233"/>
      <c r="AJ31" s="47"/>
      <c r="AK31" s="47"/>
      <c r="AL31" s="47"/>
      <c r="AM31" s="47"/>
      <c r="AN31" s="19"/>
      <c r="AO31" s="233"/>
      <c r="AP31" s="19"/>
      <c r="AQ31" s="19"/>
      <c r="AR31" s="19"/>
      <c r="AS31" s="19"/>
    </row>
    <row r="32" spans="1:46" ht="15" customHeight="1" x14ac:dyDescent="0.2">
      <c r="A32" s="156"/>
      <c r="B32" s="298"/>
      <c r="C32" s="157"/>
      <c r="D32" s="317">
        <v>2014</v>
      </c>
      <c r="E32" s="324"/>
      <c r="F32" s="325" t="str">
        <f>IF(Contents!$A$1=2,"1Q","1 кв")</f>
        <v>1 кв</v>
      </c>
      <c r="G32" s="325" t="str">
        <f>IF(Contents!$A$1=2,"2Q","2 кв")</f>
        <v>2 кв</v>
      </c>
      <c r="H32" s="325" t="str">
        <f>IF(Contents!$A$1=2,"3Q","3 кв")</f>
        <v>3 кв</v>
      </c>
      <c r="I32" s="325" t="str">
        <f>IF(Contents!$A$1=2,"4Q","4 кв")</f>
        <v>4 кв</v>
      </c>
      <c r="J32" s="317">
        <v>2015</v>
      </c>
      <c r="K32" s="324"/>
      <c r="L32" s="325" t="str">
        <f>IF(Contents!$A$1=2,"1Q","1 кв")</f>
        <v>1 кв</v>
      </c>
      <c r="M32" s="325" t="str">
        <f>IF(Contents!$A$1=2,"2Q","2 кв")</f>
        <v>2 кв</v>
      </c>
      <c r="N32" s="325" t="str">
        <f>IF(Contents!$A$1=2,"3Q","3 кв")</f>
        <v>3 кв</v>
      </c>
      <c r="O32" s="325" t="str">
        <f>IF(Contents!$A$1=2,"4Q","4 кв")</f>
        <v>4 кв</v>
      </c>
      <c r="P32" s="317">
        <v>2016</v>
      </c>
      <c r="Q32" s="324"/>
      <c r="R32" s="325" t="str">
        <f>IF(Contents!$A$1=2,"1Q","1 кв")</f>
        <v>1 кв</v>
      </c>
      <c r="S32" s="325" t="str">
        <f>IF(Contents!$A$1=2,"2Q","2 кв")</f>
        <v>2 кв</v>
      </c>
      <c r="T32" s="325" t="str">
        <f>IF(Contents!$A$1=2,"3Q","3 кв")</f>
        <v>3 кв</v>
      </c>
      <c r="U32" s="325" t="str">
        <f>IF(Contents!$A$1=2,"4Q","4 кв")</f>
        <v>4 кв</v>
      </c>
      <c r="V32" s="317">
        <v>2017</v>
      </c>
      <c r="W32" s="324"/>
      <c r="X32" s="325" t="str">
        <f>IF(Contents!$A$1=2,"1Q","1 кв")</f>
        <v>1 кв</v>
      </c>
      <c r="Y32" s="325" t="str">
        <f>IF(Contents!$A$1=2,"2Q","2 кв")</f>
        <v>2 кв</v>
      </c>
      <c r="Z32" s="325" t="str">
        <f>IF(Contents!$A$1=2,"3Q","3 кв")</f>
        <v>3 кв</v>
      </c>
      <c r="AA32" s="325" t="str">
        <f>IF(Contents!$A$1=2,"4Q","4 кв")</f>
        <v>4 кв</v>
      </c>
      <c r="AB32" s="317">
        <v>2018</v>
      </c>
      <c r="AC32" s="324"/>
      <c r="AD32" s="325" t="str">
        <f>IF(Contents!$A$1=2,"1Q","1 кв")</f>
        <v>1 кв</v>
      </c>
      <c r="AE32" s="325" t="str">
        <f>IF(Contents!$A$1=2,"2Q","2 кв")</f>
        <v>2 кв</v>
      </c>
      <c r="AF32" s="325" t="str">
        <f>IF(Contents!$A$1=2,"3Q","3 кв")</f>
        <v>3 кв</v>
      </c>
      <c r="AG32" s="325" t="str">
        <f>IF(Contents!$A$1=2,"4Q","4 кв")</f>
        <v>4 кв</v>
      </c>
      <c r="AH32" s="317">
        <v>2019</v>
      </c>
      <c r="AI32" s="324"/>
      <c r="AJ32" s="325" t="str">
        <f>IF(Contents!$A$1=2,"1Q","1 кв")</f>
        <v>1 кв</v>
      </c>
      <c r="AK32" s="325" t="str">
        <f>IF(Contents!$A$1=2,"2Q","2 кв")</f>
        <v>2 кв</v>
      </c>
      <c r="AL32" s="325" t="str">
        <f>IF(Contents!$A$1=2,"3Q","3 кв")</f>
        <v>3 кв</v>
      </c>
      <c r="AM32" s="325" t="str">
        <f>IF(Contents!$A$1=2,"4Q","4 кв")</f>
        <v>4 кв</v>
      </c>
      <c r="AN32" s="317">
        <v>2020</v>
      </c>
      <c r="AO32" s="324"/>
      <c r="AP32" s="325" t="str">
        <f>IF(Contents!$A$1=2,"1Q","1 кв")</f>
        <v>1 кв</v>
      </c>
      <c r="AQ32" s="325" t="str">
        <f>IF(Contents!$A$1=2,"2Q","2 кв")</f>
        <v>2 кв</v>
      </c>
      <c r="AR32" s="325" t="str">
        <f>IF(Contents!$A$1=2,"3Q","3 кв")</f>
        <v>3 кв</v>
      </c>
      <c r="AS32" s="325" t="str">
        <f>IF(Contents!$A$1=2,"4Q","4 кв")</f>
        <v>4 кв</v>
      </c>
      <c r="AT32" s="317">
        <v>2021</v>
      </c>
    </row>
    <row r="33" spans="1:46" ht="15" customHeight="1" x14ac:dyDescent="0.2">
      <c r="A33" s="159" t="str">
        <f>IF(Contents!$A$1=2,"Shipment of compensation crude oil","Отгрузка нефти в счет погашения задолженности")</f>
        <v>Отгрузка нефти в счет погашения задолженности</v>
      </c>
      <c r="B33" s="294" t="str">
        <f>IF(Contents!$A$1=2,"th. t","тыс. т")</f>
        <v>тыс. т</v>
      </c>
      <c r="C33" s="47"/>
      <c r="D33" s="429">
        <v>4337</v>
      </c>
      <c r="E33" s="429"/>
      <c r="F33" s="429">
        <v>2272</v>
      </c>
      <c r="G33" s="429">
        <v>2497</v>
      </c>
      <c r="H33" s="429">
        <v>2240</v>
      </c>
      <c r="I33" s="429">
        <v>3458</v>
      </c>
      <c r="J33" s="429">
        <v>10467</v>
      </c>
      <c r="K33" s="429"/>
      <c r="L33" s="429">
        <v>2555</v>
      </c>
      <c r="M33" s="429">
        <v>2588</v>
      </c>
      <c r="N33" s="429">
        <v>2593</v>
      </c>
      <c r="O33" s="429">
        <v>1157</v>
      </c>
      <c r="P33" s="429">
        <v>8893</v>
      </c>
      <c r="Q33" s="430"/>
      <c r="R33" s="429">
        <v>435</v>
      </c>
      <c r="S33" s="429">
        <v>296</v>
      </c>
      <c r="T33" s="429">
        <v>572</v>
      </c>
      <c r="U33" s="429">
        <v>430</v>
      </c>
      <c r="V33" s="429">
        <v>1733</v>
      </c>
      <c r="W33" s="430"/>
      <c r="X33" s="429">
        <v>291</v>
      </c>
      <c r="Y33" s="429">
        <v>716</v>
      </c>
      <c r="Z33" s="429">
        <v>432</v>
      </c>
      <c r="AA33" s="429">
        <v>440</v>
      </c>
      <c r="AB33" s="429">
        <v>1879</v>
      </c>
      <c r="AC33" s="430"/>
      <c r="AD33" s="429">
        <v>277</v>
      </c>
      <c r="AE33" s="429">
        <v>268</v>
      </c>
      <c r="AF33" s="429">
        <v>425</v>
      </c>
      <c r="AG33" s="429">
        <v>406</v>
      </c>
      <c r="AH33" s="429">
        <v>1376</v>
      </c>
      <c r="AI33" s="430"/>
      <c r="AJ33" s="429">
        <v>551</v>
      </c>
      <c r="AK33" s="429">
        <v>867</v>
      </c>
      <c r="AL33" s="429">
        <v>814</v>
      </c>
      <c r="AM33" s="429">
        <v>545</v>
      </c>
      <c r="AN33" s="429">
        <v>2777</v>
      </c>
      <c r="AO33" s="430"/>
      <c r="AP33" s="429">
        <v>474</v>
      </c>
      <c r="AQ33" s="429">
        <v>658</v>
      </c>
      <c r="AR33" s="429">
        <v>542</v>
      </c>
      <c r="AS33" s="429">
        <v>291</v>
      </c>
      <c r="AT33" s="429">
        <v>1965</v>
      </c>
    </row>
    <row r="34" spans="1:46" ht="25.5" x14ac:dyDescent="0.2">
      <c r="A34" s="160" t="str">
        <f>IF(Contents!$A$1=2,"Cost of compensation crude oil, received as liability settlement (included in Cost of purchased crude oil, gas and products)","Стоимость компенсационной нефти, полученной в счет погашения задолженности (отражена в Стоимости приобретённых нефти, газа и продуктов их переработки)")</f>
        <v>Стоимость компенсационной нефти, полученной в счет погашения задолженности (отражена в Стоимости приобретённых нефти, газа и продуктов их переработки)</v>
      </c>
      <c r="B34" s="294" t="str">
        <f>IF(Contents!$A$1=2,"mln RUB","млн руб.")</f>
        <v>млн руб.</v>
      </c>
      <c r="C34" s="47"/>
      <c r="D34" s="429">
        <v>80686</v>
      </c>
      <c r="E34" s="429"/>
      <c r="F34" s="429">
        <v>42042</v>
      </c>
      <c r="G34" s="429">
        <v>53023</v>
      </c>
      <c r="H34" s="429">
        <v>36779</v>
      </c>
      <c r="I34" s="429">
        <v>52821</v>
      </c>
      <c r="J34" s="429">
        <v>184665</v>
      </c>
      <c r="K34" s="429"/>
      <c r="L34" s="429">
        <v>29476</v>
      </c>
      <c r="M34" s="429">
        <v>44518</v>
      </c>
      <c r="N34" s="429">
        <v>45037</v>
      </c>
      <c r="O34" s="429">
        <v>21361</v>
      </c>
      <c r="P34" s="429">
        <v>140392</v>
      </c>
      <c r="Q34" s="430"/>
      <c r="R34" s="429">
        <v>8332</v>
      </c>
      <c r="S34" s="429">
        <v>5035</v>
      </c>
      <c r="T34" s="429">
        <v>10775</v>
      </c>
      <c r="U34" s="429">
        <v>9049</v>
      </c>
      <c r="V34" s="429">
        <v>33191</v>
      </c>
      <c r="W34" s="430"/>
      <c r="X34" s="429">
        <v>6889</v>
      </c>
      <c r="Y34" s="429">
        <v>21146</v>
      </c>
      <c r="Z34" s="429">
        <v>14180</v>
      </c>
      <c r="AA34" s="429">
        <v>10602</v>
      </c>
      <c r="AB34" s="429">
        <v>52817</v>
      </c>
      <c r="AC34" s="430"/>
      <c r="AD34" s="429">
        <v>7625</v>
      </c>
      <c r="AE34" s="429">
        <v>7860</v>
      </c>
      <c r="AF34" s="429">
        <v>10399</v>
      </c>
      <c r="AG34" s="429">
        <v>10341</v>
      </c>
      <c r="AH34" s="429">
        <v>36225</v>
      </c>
      <c r="AI34" s="430"/>
      <c r="AJ34" s="429">
        <v>8300</v>
      </c>
      <c r="AK34" s="429">
        <v>7941</v>
      </c>
      <c r="AL34" s="429">
        <v>17193</v>
      </c>
      <c r="AM34" s="429">
        <v>11994</v>
      </c>
      <c r="AN34" s="429">
        <v>45428</v>
      </c>
      <c r="AO34" s="430"/>
      <c r="AP34" s="429">
        <v>13995</v>
      </c>
      <c r="AQ34" s="429">
        <v>23506</v>
      </c>
      <c r="AR34" s="429">
        <v>20314</v>
      </c>
      <c r="AS34" s="429">
        <v>11422</v>
      </c>
      <c r="AT34" s="429">
        <v>69237</v>
      </c>
    </row>
    <row r="35" spans="1:46" ht="15" customHeight="1" x14ac:dyDescent="0.2">
      <c r="A35" s="71"/>
      <c r="B35" s="278"/>
      <c r="C35" s="42"/>
      <c r="D35" s="46"/>
      <c r="E35" s="41"/>
      <c r="F35" s="46"/>
      <c r="G35" s="46"/>
      <c r="H35" s="46"/>
      <c r="I35" s="46"/>
      <c r="J35" s="46"/>
      <c r="K35" s="41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</row>
    <row r="36" spans="1:46" ht="15" customHeight="1" x14ac:dyDescent="0.2">
      <c r="A36" s="156"/>
      <c r="B36" s="298"/>
      <c r="C36" s="157"/>
      <c r="D36" s="317">
        <v>2014</v>
      </c>
      <c r="E36" s="324"/>
      <c r="F36" s="325" t="str">
        <f>IF(Contents!$A$1=2,"1Q","1 кв")</f>
        <v>1 кв</v>
      </c>
      <c r="G36" s="325" t="str">
        <f>IF(Contents!$A$1=2,"2Q","2 кв")</f>
        <v>2 кв</v>
      </c>
      <c r="H36" s="325" t="str">
        <f>IF(Contents!$A$1=2,"3Q","3 кв")</f>
        <v>3 кв</v>
      </c>
      <c r="I36" s="325" t="str">
        <f>IF(Contents!$A$1=2,"4Q","4 кв")</f>
        <v>4 кв</v>
      </c>
      <c r="J36" s="317">
        <v>2015</v>
      </c>
      <c r="K36" s="324"/>
      <c r="L36" s="325" t="str">
        <f>IF(Contents!$A$1=2,"1Q","1 кв")</f>
        <v>1 кв</v>
      </c>
      <c r="M36" s="325" t="str">
        <f>IF(Contents!$A$1=2,"2Q","2 кв")</f>
        <v>2 кв</v>
      </c>
      <c r="N36" s="325" t="str">
        <f>IF(Contents!$A$1=2,"3Q","3 кв")</f>
        <v>3 кв</v>
      </c>
      <c r="O36" s="325" t="str">
        <f>IF(Contents!$A$1=2,"4Q","4 кв")</f>
        <v>4 кв</v>
      </c>
      <c r="P36" s="317">
        <v>2016</v>
      </c>
      <c r="Q36" s="324"/>
      <c r="R36" s="325" t="str">
        <f>IF(Contents!$A$1=2,"1Q","1 кв")</f>
        <v>1 кв</v>
      </c>
      <c r="S36" s="325" t="str">
        <f>IF(Contents!$A$1=2,"2Q","2 кв")</f>
        <v>2 кв</v>
      </c>
      <c r="T36" s="325" t="str">
        <f>IF(Contents!$A$1=2,"3Q","3 кв")</f>
        <v>3 кв</v>
      </c>
      <c r="U36" s="325" t="str">
        <f>IF(Contents!$A$1=2,"4Q","4 кв")</f>
        <v>4 кв</v>
      </c>
      <c r="V36" s="317">
        <v>2017</v>
      </c>
      <c r="W36" s="324"/>
      <c r="X36" s="325" t="str">
        <f>IF(Contents!$A$1=2,"1Q","1 кв")</f>
        <v>1 кв</v>
      </c>
      <c r="Y36" s="325" t="str">
        <f>IF(Contents!$A$1=2,"2Q","2 кв")</f>
        <v>2 кв</v>
      </c>
      <c r="Z36" s="325" t="str">
        <f>IF(Contents!$A$1=2,"3Q","3 кв")</f>
        <v>3 кв</v>
      </c>
      <c r="AA36" s="325" t="str">
        <f>IF(Contents!$A$1=2,"4Q","4 кв")</f>
        <v>4 кв</v>
      </c>
      <c r="AB36" s="317">
        <v>2018</v>
      </c>
      <c r="AC36" s="324"/>
      <c r="AD36" s="325" t="str">
        <f>IF(Contents!$A$1=2,"1Q","1 кв")</f>
        <v>1 кв</v>
      </c>
      <c r="AE36" s="325" t="str">
        <f>IF(Contents!$A$1=2,"2Q","2 кв")</f>
        <v>2 кв</v>
      </c>
      <c r="AF36" s="325" t="str">
        <f>IF(Contents!$A$1=2,"3Q","3 кв")</f>
        <v>3 кв</v>
      </c>
      <c r="AG36" s="325" t="str">
        <f>IF(Contents!$A$1=2,"4Q","4 кв")</f>
        <v>4 кв</v>
      </c>
      <c r="AH36" s="317">
        <v>2019</v>
      </c>
      <c r="AI36" s="324"/>
      <c r="AJ36" s="325" t="str">
        <f>IF(Contents!$A$1=2,"1Q","1 кв")</f>
        <v>1 кв</v>
      </c>
      <c r="AK36" s="325" t="str">
        <f>IF(Contents!$A$1=2,"2Q","2 кв")</f>
        <v>2 кв</v>
      </c>
      <c r="AL36" s="325" t="str">
        <f>IF(Contents!$A$1=2,"3Q","3 кв")</f>
        <v>3 кв</v>
      </c>
      <c r="AM36" s="325" t="str">
        <f>IF(Contents!$A$1=2,"4Q","4 кв")</f>
        <v>4 кв</v>
      </c>
      <c r="AN36" s="317">
        <v>2020</v>
      </c>
      <c r="AO36" s="324"/>
      <c r="AP36" s="325" t="str">
        <f>IF(Contents!$A$1=2,"1Q","1 кв")</f>
        <v>1 кв</v>
      </c>
      <c r="AQ36" s="325" t="str">
        <f>IF(Contents!$A$1=2,"2Q","2 кв")</f>
        <v>2 кв</v>
      </c>
      <c r="AR36" s="325" t="str">
        <f>IF(Contents!$A$1=2,"3Q","3 кв")</f>
        <v>3 кв</v>
      </c>
      <c r="AS36" s="325" t="str">
        <f>IF(Contents!$A$1=2,"4Q","4 кв")</f>
        <v>4 кв</v>
      </c>
      <c r="AT36" s="317">
        <v>2021</v>
      </c>
    </row>
    <row r="37" spans="1:46" ht="15" customHeight="1" x14ac:dyDescent="0.2">
      <c r="A37" s="159" t="str">
        <f>IF(Contents!$A$1=2,"Shipment of compensation crude oil","Отгрузка нефти в счет погашения задолженности")</f>
        <v>Отгрузка нефти в счет погашения задолженности</v>
      </c>
      <c r="B37" s="294" t="str">
        <f>IF(Contents!$A$1=2,"th. bbl","тыс. барр.")</f>
        <v>тыс. барр.</v>
      </c>
      <c r="C37" s="47"/>
      <c r="D37" s="429">
        <v>29746</v>
      </c>
      <c r="E37" s="429"/>
      <c r="F37" s="429">
        <v>15581</v>
      </c>
      <c r="G37" s="429">
        <v>17127</v>
      </c>
      <c r="H37" s="429">
        <v>15369</v>
      </c>
      <c r="I37" s="429">
        <v>23725</v>
      </c>
      <c r="J37" s="429">
        <v>71802</v>
      </c>
      <c r="K37" s="429"/>
      <c r="L37" s="429">
        <v>17527</v>
      </c>
      <c r="M37" s="429">
        <v>17755</v>
      </c>
      <c r="N37" s="429">
        <v>17788</v>
      </c>
      <c r="O37" s="429">
        <v>7935</v>
      </c>
      <c r="P37" s="429">
        <v>61005</v>
      </c>
      <c r="Q37" s="430"/>
      <c r="R37" s="429">
        <v>2984</v>
      </c>
      <c r="S37" s="429">
        <v>2034</v>
      </c>
      <c r="T37" s="429">
        <v>3924</v>
      </c>
      <c r="U37" s="429">
        <v>2912</v>
      </c>
      <c r="V37" s="429">
        <v>11854</v>
      </c>
      <c r="W37" s="430"/>
      <c r="X37" s="429">
        <v>1988</v>
      </c>
      <c r="Y37" s="429">
        <v>4899</v>
      </c>
      <c r="Z37" s="429">
        <v>2953</v>
      </c>
      <c r="AA37" s="429">
        <v>3011</v>
      </c>
      <c r="AB37" s="429">
        <v>12851</v>
      </c>
      <c r="AC37" s="430"/>
      <c r="AD37" s="429">
        <v>1895</v>
      </c>
      <c r="AE37" s="429">
        <v>1834</v>
      </c>
      <c r="AF37" s="429">
        <v>2904</v>
      </c>
      <c r="AG37" s="429">
        <v>2779</v>
      </c>
      <c r="AH37" s="429">
        <v>9412</v>
      </c>
      <c r="AI37" s="430"/>
      <c r="AJ37" s="429">
        <v>3771</v>
      </c>
      <c r="AK37" s="429">
        <v>5927</v>
      </c>
      <c r="AL37" s="429">
        <v>5572</v>
      </c>
      <c r="AM37" s="429">
        <v>3726</v>
      </c>
      <c r="AN37" s="429">
        <v>18996</v>
      </c>
      <c r="AO37" s="430"/>
      <c r="AP37" s="429">
        <v>3242</v>
      </c>
      <c r="AQ37" s="429">
        <v>4500</v>
      </c>
      <c r="AR37" s="429">
        <v>3709</v>
      </c>
      <c r="AS37" s="429">
        <v>1988</v>
      </c>
      <c r="AT37" s="429">
        <v>13439</v>
      </c>
    </row>
    <row r="38" spans="1:46" ht="25.5" x14ac:dyDescent="0.2">
      <c r="A38" s="160" t="str">
        <f>IF(Contents!$A$1=2,"Cost of compensation crude oil, received as liability settlement (included in Cost of purchased crude oil, gas and products)","Стоимость компенсационной нефти, полученной в счет погашения задолженности (отражена в Стоимости приобретённых нефти, газа и продуктов их переработки)")</f>
        <v>Стоимость компенсационной нефти, полученной в счет погашения задолженности (отражена в Стоимости приобретённых нефти, газа и продуктов их переработки)</v>
      </c>
      <c r="B38" s="294" t="str">
        <f>IF(Contents!$A$1=2,"mln USD","млн долл.")</f>
        <v>млн долл.</v>
      </c>
      <c r="C38" s="47"/>
      <c r="D38" s="429">
        <v>2100</v>
      </c>
      <c r="E38" s="429"/>
      <c r="F38" s="429">
        <v>676</v>
      </c>
      <c r="G38" s="429">
        <v>1007</v>
      </c>
      <c r="H38" s="429">
        <v>584</v>
      </c>
      <c r="I38" s="429">
        <v>801</v>
      </c>
      <c r="J38" s="429">
        <v>3068</v>
      </c>
      <c r="K38" s="429"/>
      <c r="L38" s="429">
        <v>395</v>
      </c>
      <c r="M38" s="429">
        <v>676</v>
      </c>
      <c r="N38" s="429">
        <v>697</v>
      </c>
      <c r="O38" s="429">
        <v>338</v>
      </c>
      <c r="P38" s="429">
        <v>2106</v>
      </c>
      <c r="Q38" s="430"/>
      <c r="R38" s="429">
        <v>142</v>
      </c>
      <c r="S38" s="429">
        <v>88</v>
      </c>
      <c r="T38" s="429">
        <v>182</v>
      </c>
      <c r="U38" s="429">
        <v>155</v>
      </c>
      <c r="V38" s="429">
        <v>567</v>
      </c>
      <c r="W38" s="430"/>
      <c r="X38" s="429">
        <v>121</v>
      </c>
      <c r="Y38" s="429">
        <v>342</v>
      </c>
      <c r="Z38" s="429">
        <v>217</v>
      </c>
      <c r="AA38" s="429">
        <v>159</v>
      </c>
      <c r="AB38" s="429">
        <v>839</v>
      </c>
      <c r="AC38" s="430"/>
      <c r="AD38" s="429">
        <v>115</v>
      </c>
      <c r="AE38" s="429">
        <v>122</v>
      </c>
      <c r="AF38" s="429">
        <v>161</v>
      </c>
      <c r="AG38" s="429">
        <v>162</v>
      </c>
      <c r="AH38" s="429">
        <v>560</v>
      </c>
      <c r="AI38" s="430"/>
      <c r="AJ38" s="429">
        <v>125</v>
      </c>
      <c r="AK38" s="429">
        <v>110</v>
      </c>
      <c r="AL38" s="429">
        <v>234</v>
      </c>
      <c r="AM38" s="429">
        <v>157</v>
      </c>
      <c r="AN38" s="429">
        <v>626</v>
      </c>
      <c r="AO38" s="430"/>
      <c r="AP38" s="429">
        <v>188</v>
      </c>
      <c r="AQ38" s="429">
        <v>317</v>
      </c>
      <c r="AR38" s="429">
        <v>276</v>
      </c>
      <c r="AS38" s="429">
        <v>158</v>
      </c>
      <c r="AT38" s="429">
        <v>939</v>
      </c>
    </row>
    <row r="39" spans="1:46" ht="15" customHeight="1" x14ac:dyDescent="0.2">
      <c r="A39" s="71"/>
      <c r="B39" s="296"/>
      <c r="C39" s="42"/>
      <c r="D39" s="46"/>
      <c r="E39" s="41"/>
      <c r="F39" s="46"/>
      <c r="G39" s="46"/>
      <c r="H39" s="46"/>
      <c r="I39" s="46"/>
      <c r="J39" s="46"/>
      <c r="K39" s="41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</row>
    <row r="40" spans="1:46" ht="15" customHeight="1" x14ac:dyDescent="0.2">
      <c r="A40" s="209" t="str">
        <f>IF(Contents!$A$1=2,"Contents","Содержание")</f>
        <v>Содержание</v>
      </c>
      <c r="B40" s="299"/>
    </row>
  </sheetData>
  <conditionalFormatting sqref="D1:Q1">
    <cfRule type="containsText" dxfId="990" priority="33" operator="containsText" text="ложь">
      <formula>NOT(ISERROR(SEARCH("ложь",D1)))</formula>
    </cfRule>
  </conditionalFormatting>
  <conditionalFormatting sqref="D1:Q1">
    <cfRule type="containsText" dxfId="989" priority="32" operator="containsText" text="ложь">
      <formula>NOT(ISERROR(SEARCH("ложь",D1)))</formula>
    </cfRule>
  </conditionalFormatting>
  <conditionalFormatting sqref="R1:AB1">
    <cfRule type="containsText" dxfId="988" priority="21" operator="containsText" text="ложь">
      <formula>NOT(ISERROR(SEARCH("ложь",R1)))</formula>
    </cfRule>
  </conditionalFormatting>
  <conditionalFormatting sqref="AC1:AO1">
    <cfRule type="containsText" dxfId="987" priority="8" operator="containsText" text="ложь">
      <formula>NOT(ISERROR(SEARCH("ложь",AC1)))</formula>
    </cfRule>
  </conditionalFormatting>
  <conditionalFormatting sqref="AP1:AT1">
    <cfRule type="containsText" dxfId="986" priority="1" operator="containsText" text="ложь">
      <formula>NOT(ISERROR(SEARCH("ложь",AP1)))</formula>
    </cfRule>
  </conditionalFormatting>
  <hyperlinks>
    <hyperlink ref="A40" location="Contents!A1" display="Contents!A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0">
    <pageSetUpPr fitToPage="1"/>
  </sheetPr>
  <dimension ref="A1:AU75"/>
  <sheetViews>
    <sheetView showGridLines="0" zoomScaleNormal="100" workbookViewId="0">
      <pane xSplit="2" ySplit="7" topLeftCell="C8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" customWidth="1"/>
    <col min="3" max="3" width="0.85546875" style="20" customWidth="1"/>
    <col min="4" max="4" width="10.7109375" style="20" customWidth="1"/>
    <col min="5" max="5" width="0.85546875" style="20" customWidth="1"/>
    <col min="6" max="9" width="10.7109375" style="20" hidden="1" customWidth="1" outlineLevel="1"/>
    <col min="10" max="10" width="10.7109375" style="20" customWidth="1" collapsed="1"/>
    <col min="11" max="11" width="0.85546875" style="20" customWidth="1"/>
    <col min="12" max="15" width="10.7109375" style="20" hidden="1" customWidth="1" outlineLevel="1"/>
    <col min="16" max="16" width="10.7109375" style="20" customWidth="1" collapsed="1"/>
    <col min="17" max="17" width="0.85546875" style="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9.140625" style="20" collapsed="1"/>
    <col min="41" max="41" width="0.85546875" style="220" customWidth="1"/>
    <col min="42" max="45" width="9.140625" style="20"/>
    <col min="46" max="46" width="9.140625" style="206"/>
    <col min="47" max="47" width="9.140625" style="222"/>
    <col min="48" max="16384" width="9.140625" style="20"/>
  </cols>
  <sheetData>
    <row r="1" spans="1:47" s="220" customFormat="1" ht="15" customHeight="1" x14ac:dyDescent="0.2">
      <c r="B1" s="221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</row>
    <row r="2" spans="1:47" ht="15" customHeight="1" x14ac:dyDescent="0.25">
      <c r="A2" s="335" t="str">
        <f>IF(Contents!$A$1=2,"REFINING","ПЕРЕРАБОТКА")</f>
        <v>ПЕРЕРАБОТКА</v>
      </c>
      <c r="B2" s="288"/>
      <c r="D2" s="210"/>
    </row>
    <row r="3" spans="1:47" ht="15" customHeight="1" thickBot="1" x14ac:dyDescent="0.25">
      <c r="A3" s="132"/>
      <c r="B3" s="289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4"/>
    </row>
    <row r="4" spans="1:47" ht="15" customHeight="1" thickTop="1" x14ac:dyDescent="0.2"/>
    <row r="5" spans="1:47" s="45" customFormat="1" ht="15" customHeight="1" x14ac:dyDescent="0.25">
      <c r="A5" s="39" t="str">
        <f>IF(Contents!$A$1=2,"Refinery throughput","Переработка нефти")</f>
        <v>Переработка нефти</v>
      </c>
      <c r="B5" s="290"/>
      <c r="Q5" s="239"/>
      <c r="W5" s="239"/>
      <c r="AC5" s="239"/>
      <c r="AI5" s="239"/>
      <c r="AO5" s="239"/>
      <c r="AT5" s="144"/>
      <c r="AU5" s="443"/>
    </row>
    <row r="6" spans="1:47" ht="15" customHeight="1" x14ac:dyDescent="0.2">
      <c r="A6" s="38"/>
      <c r="B6" s="38"/>
      <c r="P6" s="19"/>
      <c r="Q6" s="233"/>
      <c r="R6" s="19"/>
      <c r="S6" s="19"/>
      <c r="T6" s="19"/>
      <c r="U6" s="19"/>
      <c r="V6" s="19"/>
      <c r="W6" s="233"/>
      <c r="X6" s="19"/>
      <c r="Y6" s="19"/>
      <c r="Z6" s="19"/>
      <c r="AA6" s="19"/>
      <c r="AB6" s="19"/>
      <c r="AC6" s="233"/>
      <c r="AD6" s="19"/>
      <c r="AE6" s="19"/>
      <c r="AF6" s="19"/>
      <c r="AG6" s="19"/>
      <c r="AH6" s="19"/>
      <c r="AI6" s="233"/>
      <c r="AJ6" s="19"/>
      <c r="AK6" s="19"/>
      <c r="AL6" s="19"/>
      <c r="AM6" s="19"/>
    </row>
    <row r="7" spans="1:47" s="1" customFormat="1" ht="15" customHeight="1" x14ac:dyDescent="0.2">
      <c r="A7" s="75"/>
      <c r="B7" s="303"/>
      <c r="C7" s="16"/>
      <c r="D7" s="326">
        <v>2014</v>
      </c>
      <c r="E7" s="327"/>
      <c r="F7" s="325" t="str">
        <f>IF(Contents!$A$1=2,"1Q","1 кв")</f>
        <v>1 кв</v>
      </c>
      <c r="G7" s="325" t="str">
        <f>IF(Contents!$A$1=2,"2Q","2 кв")</f>
        <v>2 кв</v>
      </c>
      <c r="H7" s="325" t="str">
        <f>IF(Contents!$A$1=2,"3Q","3 кв")</f>
        <v>3 кв</v>
      </c>
      <c r="I7" s="325" t="str">
        <f>IF(Contents!$A$1=2,"4Q","4 кв")</f>
        <v>4 кв</v>
      </c>
      <c r="J7" s="326">
        <v>2015</v>
      </c>
      <c r="K7" s="327"/>
      <c r="L7" s="325" t="str">
        <f>IF(Contents!$A$1=2,"1Q","1 кв")</f>
        <v>1 кв</v>
      </c>
      <c r="M7" s="325" t="str">
        <f>IF(Contents!$A$1=2,"2Q","2 кв")</f>
        <v>2 кв</v>
      </c>
      <c r="N7" s="325" t="str">
        <f>IF(Contents!$A$1=2,"3Q","3 кв")</f>
        <v>3 кв</v>
      </c>
      <c r="O7" s="325" t="str">
        <f>IF(Contents!$A$1=2,"4Q","4 кв")</f>
        <v>4 кв</v>
      </c>
      <c r="P7" s="326">
        <v>2016</v>
      </c>
      <c r="Q7" s="328"/>
      <c r="R7" s="325" t="str">
        <f>IF(Contents!$A$1=2,"1Q","1 кв")</f>
        <v>1 кв</v>
      </c>
      <c r="S7" s="325" t="str">
        <f>IF(Contents!$A$1=2,"2Q","2 кв")</f>
        <v>2 кв</v>
      </c>
      <c r="T7" s="325" t="str">
        <f>IF(Contents!$A$1=2,"3Q","3 кв")</f>
        <v>3 кв</v>
      </c>
      <c r="U7" s="325" t="str">
        <f>IF(Contents!$A$1=2,"4Q","4 кв")</f>
        <v>4 кв</v>
      </c>
      <c r="V7" s="326">
        <v>2017</v>
      </c>
      <c r="W7" s="328"/>
      <c r="X7" s="325" t="str">
        <f>IF(Contents!$A$1=2,"1Q","1 кв")</f>
        <v>1 кв</v>
      </c>
      <c r="Y7" s="325" t="str">
        <f>IF(Contents!$A$1=2,"2Q","2 кв")</f>
        <v>2 кв</v>
      </c>
      <c r="Z7" s="325" t="str">
        <f>IF(Contents!$A$1=2,"3Q","3 кв")</f>
        <v>3 кв</v>
      </c>
      <c r="AA7" s="325" t="str">
        <f>IF(Contents!$A$1=2,"4Q","4 кв")</f>
        <v>4 кв</v>
      </c>
      <c r="AB7" s="326">
        <v>2018</v>
      </c>
      <c r="AC7" s="328"/>
      <c r="AD7" s="325" t="str">
        <f>IF(Contents!$A$1=2,"1Q","1 кв")</f>
        <v>1 кв</v>
      </c>
      <c r="AE7" s="325" t="str">
        <f>IF(Contents!$A$1=2,"2Q","2 кв")</f>
        <v>2 кв</v>
      </c>
      <c r="AF7" s="325" t="str">
        <f>IF(Contents!$A$1=2,"3Q","3 кв")</f>
        <v>3 кв</v>
      </c>
      <c r="AG7" s="325" t="str">
        <f>IF(Contents!$A$1=2,"4Q","4 кв")</f>
        <v>4 кв</v>
      </c>
      <c r="AH7" s="326">
        <v>2019</v>
      </c>
      <c r="AI7" s="328"/>
      <c r="AJ7" s="325" t="str">
        <f>IF(Contents!$A$1=2,"1Q","1 кв")</f>
        <v>1 кв</v>
      </c>
      <c r="AK7" s="325" t="str">
        <f>IF(Contents!$A$1=2,"2Q","2 кв")</f>
        <v>2 кв</v>
      </c>
      <c r="AL7" s="325" t="str">
        <f>IF(Contents!$A$1=2,"3Q","3 кв")</f>
        <v>3 кв</v>
      </c>
      <c r="AM7" s="325" t="str">
        <f>IF(Contents!$A$1=2,"4Q","4 кв")</f>
        <v>4 кв</v>
      </c>
      <c r="AN7" s="326">
        <v>2020</v>
      </c>
      <c r="AO7" s="328"/>
      <c r="AP7" s="325" t="str">
        <f>IF(Contents!$A$1=2,"1Q","1 кв")</f>
        <v>1 кв</v>
      </c>
      <c r="AQ7" s="325" t="str">
        <f>IF(Contents!$A$1=2,"2Q","2 кв")</f>
        <v>2 кв</v>
      </c>
      <c r="AR7" s="325" t="str">
        <f>IF(Contents!$A$1=2,"3Q","3 кв")</f>
        <v>3 кв</v>
      </c>
      <c r="AS7" s="325" t="str">
        <f>IF(Contents!$A$1=2,"4Q","4 кв")</f>
        <v>4 кв</v>
      </c>
      <c r="AT7" s="326">
        <v>2021</v>
      </c>
      <c r="AU7" s="328"/>
    </row>
    <row r="8" spans="1:47" s="1" customFormat="1" ht="15" customHeight="1" x14ac:dyDescent="0.2">
      <c r="A8" s="145" t="str">
        <f>IF(Contents!$A$1=2,"Total refinery throughput","Итого переработка нефти")</f>
        <v>Итого переработка нефти</v>
      </c>
      <c r="B8" s="304" t="str">
        <f>IF(Contents!$A$1=2,"th. t","тыс. т")</f>
        <v>тыс. т</v>
      </c>
      <c r="C8" s="146"/>
      <c r="D8" s="447">
        <v>68419</v>
      </c>
      <c r="E8" s="426"/>
      <c r="F8" s="447">
        <v>15188</v>
      </c>
      <c r="G8" s="447">
        <v>15776</v>
      </c>
      <c r="H8" s="447">
        <v>17647</v>
      </c>
      <c r="I8" s="447">
        <v>16774</v>
      </c>
      <c r="J8" s="447">
        <v>65385</v>
      </c>
      <c r="K8" s="426"/>
      <c r="L8" s="447">
        <v>15904</v>
      </c>
      <c r="M8" s="447">
        <v>16481</v>
      </c>
      <c r="N8" s="447">
        <v>17199</v>
      </c>
      <c r="O8" s="447">
        <v>17221</v>
      </c>
      <c r="P8" s="447">
        <v>66805</v>
      </c>
      <c r="Q8" s="426"/>
      <c r="R8" s="447">
        <v>17592</v>
      </c>
      <c r="S8" s="447">
        <v>18072</v>
      </c>
      <c r="T8" s="447">
        <v>19026</v>
      </c>
      <c r="U8" s="447">
        <v>19097</v>
      </c>
      <c r="V8" s="447">
        <v>73787</v>
      </c>
      <c r="W8" s="426"/>
      <c r="X8" s="447">
        <v>17773</v>
      </c>
      <c r="Y8" s="447">
        <v>18365</v>
      </c>
      <c r="Z8" s="447">
        <v>19089</v>
      </c>
      <c r="AA8" s="447">
        <v>18636</v>
      </c>
      <c r="AB8" s="447">
        <v>73863</v>
      </c>
      <c r="AC8" s="426"/>
      <c r="AD8" s="447">
        <v>18256</v>
      </c>
      <c r="AE8" s="447">
        <v>18466</v>
      </c>
      <c r="AF8" s="447">
        <v>19988</v>
      </c>
      <c r="AG8" s="447">
        <v>17054</v>
      </c>
      <c r="AH8" s="447">
        <v>73206</v>
      </c>
      <c r="AI8" s="426"/>
      <c r="AJ8" s="447">
        <v>17143</v>
      </c>
      <c r="AK8" s="447">
        <v>13549</v>
      </c>
      <c r="AL8" s="447">
        <v>14889</v>
      </c>
      <c r="AM8" s="447">
        <v>13173</v>
      </c>
      <c r="AN8" s="447">
        <v>58754</v>
      </c>
      <c r="AO8" s="426"/>
      <c r="AP8" s="447">
        <v>14444</v>
      </c>
      <c r="AQ8" s="447">
        <v>15739</v>
      </c>
      <c r="AR8" s="447">
        <v>17301</v>
      </c>
      <c r="AS8" s="447">
        <v>15481</v>
      </c>
      <c r="AT8" s="447">
        <v>62965</v>
      </c>
      <c r="AU8" s="444"/>
    </row>
    <row r="9" spans="1:47" s="1" customFormat="1" ht="15" customHeight="1" x14ac:dyDescent="0.2">
      <c r="A9" s="240" t="str">
        <f>IF(Contents!$A$1=2,"Refinery throughput at the Group refineries","Переработка нефти на НПЗ Группы")</f>
        <v>Переработка нефти на НПЗ Группы</v>
      </c>
      <c r="B9" s="304" t="str">
        <f>IF(Contents!$A$1=2,"th. t","тыс. т")</f>
        <v>тыс. т</v>
      </c>
      <c r="C9" s="16"/>
      <c r="D9" s="447">
        <v>66570</v>
      </c>
      <c r="E9" s="426"/>
      <c r="F9" s="447">
        <v>14978</v>
      </c>
      <c r="G9" s="447">
        <v>15569</v>
      </c>
      <c r="H9" s="447">
        <v>17349</v>
      </c>
      <c r="I9" s="447">
        <v>16593</v>
      </c>
      <c r="J9" s="447">
        <v>64489</v>
      </c>
      <c r="K9" s="426"/>
      <c r="L9" s="447">
        <v>15812</v>
      </c>
      <c r="M9" s="447">
        <v>16408</v>
      </c>
      <c r="N9" s="447">
        <v>17119</v>
      </c>
      <c r="O9" s="447">
        <v>16722</v>
      </c>
      <c r="P9" s="447">
        <v>66061</v>
      </c>
      <c r="Q9" s="426"/>
      <c r="R9" s="447">
        <v>16196</v>
      </c>
      <c r="S9" s="447">
        <v>16394</v>
      </c>
      <c r="T9" s="447">
        <v>17356</v>
      </c>
      <c r="U9" s="447">
        <v>17294</v>
      </c>
      <c r="V9" s="447">
        <v>67240</v>
      </c>
      <c r="W9" s="426"/>
      <c r="X9" s="447">
        <v>16113</v>
      </c>
      <c r="Y9" s="447">
        <v>16734</v>
      </c>
      <c r="Z9" s="447">
        <v>17467</v>
      </c>
      <c r="AA9" s="447">
        <v>17002</v>
      </c>
      <c r="AB9" s="447">
        <v>67316</v>
      </c>
      <c r="AC9" s="426"/>
      <c r="AD9" s="447">
        <v>16668</v>
      </c>
      <c r="AE9" s="447">
        <v>16823</v>
      </c>
      <c r="AF9" s="447">
        <v>18246</v>
      </c>
      <c r="AG9" s="447">
        <v>17009</v>
      </c>
      <c r="AH9" s="447">
        <v>68746</v>
      </c>
      <c r="AI9" s="426"/>
      <c r="AJ9" s="447">
        <v>17090</v>
      </c>
      <c r="AK9" s="447">
        <v>13525</v>
      </c>
      <c r="AL9" s="447">
        <v>14848</v>
      </c>
      <c r="AM9" s="447">
        <v>13145</v>
      </c>
      <c r="AN9" s="447">
        <v>58608</v>
      </c>
      <c r="AO9" s="426"/>
      <c r="AP9" s="447">
        <v>14444</v>
      </c>
      <c r="AQ9" s="447">
        <v>15738</v>
      </c>
      <c r="AR9" s="447">
        <v>17299</v>
      </c>
      <c r="AS9" s="447">
        <v>15478</v>
      </c>
      <c r="AT9" s="447">
        <v>62959</v>
      </c>
      <c r="AU9" s="445"/>
    </row>
    <row r="10" spans="1:47" s="1" customFormat="1" ht="15" customHeight="1" x14ac:dyDescent="0.2">
      <c r="A10" s="147" t="str">
        <f>IF(Contents!$A$1=2,"in Russia","в России")</f>
        <v>в России</v>
      </c>
      <c r="B10" s="280" t="str">
        <f>IF(Contents!$A$1=2,"th. t","тыс. т")</f>
        <v>тыс. т</v>
      </c>
      <c r="C10" s="16"/>
      <c r="D10" s="439">
        <v>45285</v>
      </c>
      <c r="E10" s="439"/>
      <c r="F10" s="439">
        <v>9929</v>
      </c>
      <c r="G10" s="439">
        <v>10268</v>
      </c>
      <c r="H10" s="439">
        <v>11182</v>
      </c>
      <c r="I10" s="439">
        <v>10476</v>
      </c>
      <c r="J10" s="439">
        <v>41855</v>
      </c>
      <c r="K10" s="439"/>
      <c r="L10" s="439">
        <v>10048</v>
      </c>
      <c r="M10" s="439">
        <v>9889</v>
      </c>
      <c r="N10" s="439">
        <v>11092</v>
      </c>
      <c r="O10" s="439">
        <v>10723</v>
      </c>
      <c r="P10" s="439">
        <v>41752</v>
      </c>
      <c r="Q10" s="439"/>
      <c r="R10" s="439">
        <v>10506</v>
      </c>
      <c r="S10" s="439">
        <v>10447</v>
      </c>
      <c r="T10" s="439">
        <v>11010</v>
      </c>
      <c r="U10" s="439">
        <v>11144</v>
      </c>
      <c r="V10" s="439">
        <v>43107</v>
      </c>
      <c r="W10" s="439"/>
      <c r="X10" s="439">
        <v>10655</v>
      </c>
      <c r="Y10" s="439">
        <v>10668</v>
      </c>
      <c r="Z10" s="439">
        <v>10939</v>
      </c>
      <c r="AA10" s="439">
        <v>10927</v>
      </c>
      <c r="AB10" s="439">
        <v>43189</v>
      </c>
      <c r="AC10" s="439"/>
      <c r="AD10" s="439">
        <v>10967</v>
      </c>
      <c r="AE10" s="439">
        <v>10749</v>
      </c>
      <c r="AF10" s="439">
        <v>11610</v>
      </c>
      <c r="AG10" s="439">
        <v>10828</v>
      </c>
      <c r="AH10" s="439">
        <v>44154</v>
      </c>
      <c r="AI10" s="439"/>
      <c r="AJ10" s="439">
        <v>10937</v>
      </c>
      <c r="AK10" s="439">
        <v>9283</v>
      </c>
      <c r="AL10" s="439">
        <v>10207</v>
      </c>
      <c r="AM10" s="439">
        <v>9682</v>
      </c>
      <c r="AN10" s="439">
        <v>40109</v>
      </c>
      <c r="AO10" s="439"/>
      <c r="AP10" s="439">
        <v>10026</v>
      </c>
      <c r="AQ10" s="439">
        <v>10400</v>
      </c>
      <c r="AR10" s="439">
        <v>11270</v>
      </c>
      <c r="AS10" s="439">
        <v>10920</v>
      </c>
      <c r="AT10" s="439">
        <v>42616</v>
      </c>
      <c r="AU10" s="445"/>
    </row>
    <row r="11" spans="1:47" s="1" customFormat="1" ht="15" customHeight="1" x14ac:dyDescent="0.2">
      <c r="A11" s="147" t="str">
        <f>IF(Contents!$A$1=2,"outside Russia, including ","за рубежом, включая")</f>
        <v>за рубежом, включая</v>
      </c>
      <c r="B11" s="280" t="str">
        <f>IF(Contents!$A$1=2,"th. t","тыс. т")</f>
        <v>тыс. т</v>
      </c>
      <c r="C11" s="16"/>
      <c r="D11" s="439">
        <v>21285</v>
      </c>
      <c r="E11" s="439"/>
      <c r="F11" s="439">
        <v>5049</v>
      </c>
      <c r="G11" s="439">
        <v>5301</v>
      </c>
      <c r="H11" s="439">
        <v>6167</v>
      </c>
      <c r="I11" s="439">
        <v>6117</v>
      </c>
      <c r="J11" s="439">
        <v>22634</v>
      </c>
      <c r="K11" s="439"/>
      <c r="L11" s="439">
        <v>5764</v>
      </c>
      <c r="M11" s="439">
        <v>6519</v>
      </c>
      <c r="N11" s="439">
        <v>6027</v>
      </c>
      <c r="O11" s="439">
        <v>5999</v>
      </c>
      <c r="P11" s="439">
        <v>24309</v>
      </c>
      <c r="Q11" s="439"/>
      <c r="R11" s="439">
        <v>5690</v>
      </c>
      <c r="S11" s="439">
        <v>5947</v>
      </c>
      <c r="T11" s="439">
        <v>6346</v>
      </c>
      <c r="U11" s="439">
        <v>6150</v>
      </c>
      <c r="V11" s="439">
        <v>24133</v>
      </c>
      <c r="W11" s="439"/>
      <c r="X11" s="439">
        <v>5458</v>
      </c>
      <c r="Y11" s="439">
        <v>6066</v>
      </c>
      <c r="Z11" s="439">
        <v>6528</v>
      </c>
      <c r="AA11" s="439">
        <v>6075</v>
      </c>
      <c r="AB11" s="439">
        <v>24127</v>
      </c>
      <c r="AC11" s="439"/>
      <c r="AD11" s="439">
        <v>5701</v>
      </c>
      <c r="AE11" s="439">
        <v>6074</v>
      </c>
      <c r="AF11" s="439">
        <v>6636</v>
      </c>
      <c r="AG11" s="439">
        <v>6181</v>
      </c>
      <c r="AH11" s="439">
        <v>24592</v>
      </c>
      <c r="AI11" s="439"/>
      <c r="AJ11" s="439">
        <v>6153</v>
      </c>
      <c r="AK11" s="439">
        <v>4242</v>
      </c>
      <c r="AL11" s="439">
        <v>4641</v>
      </c>
      <c r="AM11" s="439">
        <v>3463</v>
      </c>
      <c r="AN11" s="439">
        <v>18499</v>
      </c>
      <c r="AO11" s="439"/>
      <c r="AP11" s="439">
        <v>4418</v>
      </c>
      <c r="AQ11" s="439">
        <v>5338</v>
      </c>
      <c r="AR11" s="439">
        <v>6029</v>
      </c>
      <c r="AS11" s="439">
        <v>4558</v>
      </c>
      <c r="AT11" s="439">
        <v>20343</v>
      </c>
      <c r="AU11" s="445"/>
    </row>
    <row r="12" spans="1:47" s="206" customFormat="1" ht="15" customHeight="1" x14ac:dyDescent="0.2">
      <c r="A12" s="213" t="str">
        <f>IF(Contents!$A$1=2,"crude oil","нефть")</f>
        <v>нефть</v>
      </c>
      <c r="B12" s="280" t="str">
        <f>IF(Contents!$A$1=2,"th. t","тыс. т")</f>
        <v>тыс. т</v>
      </c>
      <c r="C12" s="16"/>
      <c r="D12" s="439">
        <v>16886</v>
      </c>
      <c r="E12" s="439"/>
      <c r="F12" s="439">
        <v>4039</v>
      </c>
      <c r="G12" s="439">
        <v>4523</v>
      </c>
      <c r="H12" s="439">
        <v>5172</v>
      </c>
      <c r="I12" s="439">
        <v>5098</v>
      </c>
      <c r="J12" s="439">
        <v>18832</v>
      </c>
      <c r="K12" s="439"/>
      <c r="L12" s="439">
        <v>4428</v>
      </c>
      <c r="M12" s="439">
        <v>5110</v>
      </c>
      <c r="N12" s="439">
        <v>5362</v>
      </c>
      <c r="O12" s="439">
        <v>5456</v>
      </c>
      <c r="P12" s="439">
        <v>20356</v>
      </c>
      <c r="Q12" s="439"/>
      <c r="R12" s="439">
        <v>5119</v>
      </c>
      <c r="S12" s="439">
        <v>5359</v>
      </c>
      <c r="T12" s="439">
        <v>5823</v>
      </c>
      <c r="U12" s="439">
        <v>5669</v>
      </c>
      <c r="V12" s="439">
        <v>21970</v>
      </c>
      <c r="W12" s="439"/>
      <c r="X12" s="439">
        <v>4549</v>
      </c>
      <c r="Y12" s="439">
        <v>5340</v>
      </c>
      <c r="Z12" s="439">
        <v>5837</v>
      </c>
      <c r="AA12" s="439">
        <v>5544</v>
      </c>
      <c r="AB12" s="439">
        <v>21270</v>
      </c>
      <c r="AC12" s="439"/>
      <c r="AD12" s="439">
        <v>5224</v>
      </c>
      <c r="AE12" s="439">
        <v>5554</v>
      </c>
      <c r="AF12" s="439">
        <v>6208</v>
      </c>
      <c r="AG12" s="439">
        <v>5687</v>
      </c>
      <c r="AH12" s="439">
        <v>22673</v>
      </c>
      <c r="AI12" s="439"/>
      <c r="AJ12" s="439">
        <v>5590</v>
      </c>
      <c r="AK12" s="439">
        <v>3998</v>
      </c>
      <c r="AL12" s="439">
        <v>4215</v>
      </c>
      <c r="AM12" s="439">
        <v>3085</v>
      </c>
      <c r="AN12" s="439">
        <v>16888</v>
      </c>
      <c r="AO12" s="439"/>
      <c r="AP12" s="439">
        <v>3788</v>
      </c>
      <c r="AQ12" s="439">
        <v>4924</v>
      </c>
      <c r="AR12" s="439">
        <v>5396</v>
      </c>
      <c r="AS12" s="439">
        <v>4223</v>
      </c>
      <c r="AT12" s="439">
        <v>18331</v>
      </c>
      <c r="AU12" s="445"/>
    </row>
    <row r="13" spans="1:47" s="206" customFormat="1" ht="15" customHeight="1" x14ac:dyDescent="0.2">
      <c r="A13" s="213" t="str">
        <f>IF(Contents!$A$1=2,"refined products","нефтепродукты")</f>
        <v>нефтепродукты</v>
      </c>
      <c r="B13" s="280" t="str">
        <f>IF(Contents!$A$1=2,"th. t","тыс. т")</f>
        <v>тыс. т</v>
      </c>
      <c r="C13" s="16"/>
      <c r="D13" s="439">
        <v>4399</v>
      </c>
      <c r="E13" s="439"/>
      <c r="F13" s="439">
        <v>1010</v>
      </c>
      <c r="G13" s="439">
        <v>778</v>
      </c>
      <c r="H13" s="439">
        <v>995</v>
      </c>
      <c r="I13" s="439">
        <v>1019</v>
      </c>
      <c r="J13" s="439">
        <v>3802</v>
      </c>
      <c r="K13" s="439"/>
      <c r="L13" s="439">
        <v>1336</v>
      </c>
      <c r="M13" s="439">
        <v>1409</v>
      </c>
      <c r="N13" s="439">
        <v>665</v>
      </c>
      <c r="O13" s="439">
        <v>543</v>
      </c>
      <c r="P13" s="439">
        <v>3953</v>
      </c>
      <c r="Q13" s="439"/>
      <c r="R13" s="439">
        <v>571</v>
      </c>
      <c r="S13" s="439">
        <v>588</v>
      </c>
      <c r="T13" s="439">
        <v>523</v>
      </c>
      <c r="U13" s="439">
        <v>481</v>
      </c>
      <c r="V13" s="439">
        <v>2163</v>
      </c>
      <c r="W13" s="439"/>
      <c r="X13" s="439">
        <v>909</v>
      </c>
      <c r="Y13" s="439">
        <v>726</v>
      </c>
      <c r="Z13" s="439">
        <v>691</v>
      </c>
      <c r="AA13" s="439">
        <v>531</v>
      </c>
      <c r="AB13" s="439">
        <v>2857</v>
      </c>
      <c r="AC13" s="439"/>
      <c r="AD13" s="439">
        <v>477</v>
      </c>
      <c r="AE13" s="439">
        <v>520</v>
      </c>
      <c r="AF13" s="439">
        <v>428</v>
      </c>
      <c r="AG13" s="439">
        <v>494</v>
      </c>
      <c r="AH13" s="439">
        <v>1919</v>
      </c>
      <c r="AI13" s="439"/>
      <c r="AJ13" s="439">
        <v>563</v>
      </c>
      <c r="AK13" s="439">
        <v>244</v>
      </c>
      <c r="AL13" s="439">
        <v>426</v>
      </c>
      <c r="AM13" s="439">
        <v>378</v>
      </c>
      <c r="AN13" s="439">
        <v>1611</v>
      </c>
      <c r="AO13" s="439"/>
      <c r="AP13" s="439">
        <v>630</v>
      </c>
      <c r="AQ13" s="439">
        <v>414</v>
      </c>
      <c r="AR13" s="439">
        <v>633</v>
      </c>
      <c r="AS13" s="439">
        <v>335</v>
      </c>
      <c r="AT13" s="439">
        <v>2012</v>
      </c>
      <c r="AU13" s="445"/>
    </row>
    <row r="14" spans="1:47" s="1" customFormat="1" ht="15" customHeight="1" x14ac:dyDescent="0.2">
      <c r="A14" s="371" t="str">
        <f>IF(Contents!$A$1=2,"Refinery throughput at third party refineries","Переработка нефти на сторонних НПЗ")</f>
        <v>Переработка нефти на сторонних НПЗ</v>
      </c>
      <c r="B14" s="308" t="str">
        <f>IF(Contents!$A$1=2,"th. t","тыс. т")</f>
        <v>тыс. т</v>
      </c>
      <c r="C14" s="406"/>
      <c r="D14" s="434">
        <v>1849</v>
      </c>
      <c r="E14" s="434"/>
      <c r="F14" s="434">
        <v>210</v>
      </c>
      <c r="G14" s="434">
        <v>207</v>
      </c>
      <c r="H14" s="434">
        <v>298</v>
      </c>
      <c r="I14" s="434">
        <v>181</v>
      </c>
      <c r="J14" s="434">
        <v>896</v>
      </c>
      <c r="K14" s="434"/>
      <c r="L14" s="434">
        <v>92</v>
      </c>
      <c r="M14" s="434">
        <v>73</v>
      </c>
      <c r="N14" s="434">
        <v>80</v>
      </c>
      <c r="O14" s="434">
        <v>499</v>
      </c>
      <c r="P14" s="434">
        <v>744</v>
      </c>
      <c r="Q14" s="434"/>
      <c r="R14" s="434">
        <v>1396</v>
      </c>
      <c r="S14" s="434">
        <v>1678</v>
      </c>
      <c r="T14" s="434">
        <v>1670</v>
      </c>
      <c r="U14" s="434">
        <v>1803</v>
      </c>
      <c r="V14" s="434">
        <v>6547</v>
      </c>
      <c r="W14" s="434"/>
      <c r="X14" s="434">
        <v>1660</v>
      </c>
      <c r="Y14" s="434">
        <v>1631</v>
      </c>
      <c r="Z14" s="434">
        <v>1622</v>
      </c>
      <c r="AA14" s="434">
        <v>1634</v>
      </c>
      <c r="AB14" s="434">
        <v>6547</v>
      </c>
      <c r="AC14" s="434"/>
      <c r="AD14" s="434">
        <v>1588</v>
      </c>
      <c r="AE14" s="434">
        <v>1643</v>
      </c>
      <c r="AF14" s="434">
        <v>1742</v>
      </c>
      <c r="AG14" s="434">
        <v>45</v>
      </c>
      <c r="AH14" s="434">
        <v>4460</v>
      </c>
      <c r="AI14" s="434"/>
      <c r="AJ14" s="434">
        <v>53</v>
      </c>
      <c r="AK14" s="434">
        <v>24</v>
      </c>
      <c r="AL14" s="434">
        <v>41</v>
      </c>
      <c r="AM14" s="434">
        <v>28</v>
      </c>
      <c r="AN14" s="434">
        <v>146</v>
      </c>
      <c r="AO14" s="434"/>
      <c r="AP14" s="434">
        <v>0</v>
      </c>
      <c r="AQ14" s="434">
        <v>1</v>
      </c>
      <c r="AR14" s="434">
        <v>2</v>
      </c>
      <c r="AS14" s="434">
        <v>3</v>
      </c>
      <c r="AT14" s="434">
        <v>6</v>
      </c>
      <c r="AU14" s="446"/>
    </row>
    <row r="15" spans="1:47" s="2" customFormat="1" ht="15" customHeight="1" x14ac:dyDescent="0.2">
      <c r="A15" s="63"/>
      <c r="B15" s="204"/>
      <c r="C15" s="5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407"/>
      <c r="AU15" s="446"/>
    </row>
    <row r="16" spans="1:47" s="2" customFormat="1" ht="15" customHeight="1" x14ac:dyDescent="0.2">
      <c r="A16" s="8"/>
      <c r="B16" s="13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80"/>
      <c r="AU16" s="445"/>
    </row>
    <row r="17" spans="1:47" s="2" customFormat="1" ht="15" customHeight="1" x14ac:dyDescent="0.2">
      <c r="A17" s="39" t="str">
        <f>IF(Contents!$A$1=2,"Production of the Group refineries","Объем производства нефтепродуктов")</f>
        <v>Объем производства нефтепродуктов</v>
      </c>
      <c r="B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37"/>
      <c r="R17" s="4"/>
      <c r="S17" s="4"/>
      <c r="T17" s="4"/>
      <c r="U17" s="4"/>
      <c r="V17" s="4"/>
      <c r="W17" s="237"/>
      <c r="X17" s="4"/>
      <c r="Y17" s="4"/>
      <c r="Z17" s="4"/>
      <c r="AA17" s="4"/>
      <c r="AB17" s="4"/>
      <c r="AC17" s="237"/>
      <c r="AD17" s="4"/>
      <c r="AE17" s="4"/>
      <c r="AF17" s="4"/>
      <c r="AG17" s="4"/>
      <c r="AH17" s="4"/>
      <c r="AI17" s="237"/>
      <c r="AJ17" s="4"/>
      <c r="AK17" s="4"/>
      <c r="AL17" s="4"/>
      <c r="AM17" s="4"/>
      <c r="AN17" s="4"/>
      <c r="AO17" s="237"/>
      <c r="AP17" s="4"/>
      <c r="AQ17" s="4"/>
      <c r="AR17" s="4"/>
      <c r="AS17" s="4"/>
      <c r="AT17" s="80"/>
      <c r="AU17" s="445"/>
    </row>
    <row r="18" spans="1:47" s="5" customFormat="1" ht="15" customHeight="1" x14ac:dyDescent="0.2">
      <c r="B18" s="205"/>
      <c r="D18" s="205"/>
      <c r="E18" s="199"/>
      <c r="F18" s="199"/>
      <c r="G18" s="199"/>
      <c r="H18" s="199"/>
      <c r="I18" s="199"/>
      <c r="J18" s="205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80"/>
      <c r="AU18" s="445"/>
    </row>
    <row r="19" spans="1:47" s="16" customFormat="1" ht="15" customHeight="1" x14ac:dyDescent="0.2">
      <c r="A19" s="75"/>
      <c r="B19" s="306"/>
      <c r="D19" s="329">
        <v>2014</v>
      </c>
      <c r="E19" s="152"/>
      <c r="F19" s="325" t="s">
        <v>6</v>
      </c>
      <c r="G19" s="325" t="s">
        <v>7</v>
      </c>
      <c r="H19" s="325" t="s">
        <v>8</v>
      </c>
      <c r="I19" s="325" t="s">
        <v>9</v>
      </c>
      <c r="J19" s="329">
        <v>2015</v>
      </c>
      <c r="K19" s="152"/>
      <c r="L19" s="325" t="s">
        <v>6</v>
      </c>
      <c r="M19" s="325" t="s">
        <v>7</v>
      </c>
      <c r="N19" s="325" t="s">
        <v>8</v>
      </c>
      <c r="O19" s="325" t="s">
        <v>9</v>
      </c>
      <c r="P19" s="329">
        <v>2016</v>
      </c>
      <c r="Q19" s="330"/>
      <c r="R19" s="325" t="s">
        <v>6</v>
      </c>
      <c r="S19" s="325" t="s">
        <v>7</v>
      </c>
      <c r="T19" s="325" t="s">
        <v>8</v>
      </c>
      <c r="U19" s="325" t="s">
        <v>9</v>
      </c>
      <c r="V19" s="326">
        <v>2017</v>
      </c>
      <c r="W19" s="328"/>
      <c r="X19" s="325" t="s">
        <v>6</v>
      </c>
      <c r="Y19" s="325" t="s">
        <v>7</v>
      </c>
      <c r="Z19" s="325" t="s">
        <v>8</v>
      </c>
      <c r="AA19" s="325" t="s">
        <v>9</v>
      </c>
      <c r="AB19" s="326">
        <v>2018</v>
      </c>
      <c r="AC19" s="328"/>
      <c r="AD19" s="325" t="str">
        <f>IF(Contents!$A$1=2,"1Q","1 кв")</f>
        <v>1 кв</v>
      </c>
      <c r="AE19" s="325" t="str">
        <f>IF(Contents!$A$1=2,"2Q","2 кв")</f>
        <v>2 кв</v>
      </c>
      <c r="AF19" s="325" t="str">
        <f>IF(Contents!$A$1=2,"3Q","3 кв")</f>
        <v>3 кв</v>
      </c>
      <c r="AG19" s="325" t="str">
        <f>IF(Contents!$A$1=2,"4Q","4 кв")</f>
        <v>4 кв</v>
      </c>
      <c r="AH19" s="326">
        <v>2019</v>
      </c>
      <c r="AI19" s="328"/>
      <c r="AJ19" s="325" t="str">
        <f>IF(Contents!$A$1=2,"1Q","1 кв")</f>
        <v>1 кв</v>
      </c>
      <c r="AK19" s="325" t="str">
        <f>IF(Contents!$A$1=2,"2Q","2 кв")</f>
        <v>2 кв</v>
      </c>
      <c r="AL19" s="325" t="str">
        <f>IF(Contents!$A$1=2,"3Q","3 кв")</f>
        <v>3 кв</v>
      </c>
      <c r="AM19" s="325" t="str">
        <f>IF(Contents!$A$1=2,"4Q","4 кв")</f>
        <v>4 кв</v>
      </c>
      <c r="AN19" s="326">
        <v>2020</v>
      </c>
      <c r="AO19" s="328"/>
      <c r="AP19" s="325" t="str">
        <f>IF(Contents!$A$1=2,"1Q","1 кв")</f>
        <v>1 кв</v>
      </c>
      <c r="AQ19" s="325" t="str">
        <f>IF(Contents!$A$1=2,"2Q","2 кв")</f>
        <v>2 кв</v>
      </c>
      <c r="AR19" s="325" t="str">
        <f>IF(Contents!$A$1=2,"3Q","3 кв")</f>
        <v>3 кв</v>
      </c>
      <c r="AS19" s="325" t="str">
        <f>IF(Contents!$A$1=2,"4Q","4 кв")</f>
        <v>4 кв</v>
      </c>
      <c r="AT19" s="326">
        <v>2021</v>
      </c>
      <c r="AU19" s="445"/>
    </row>
    <row r="20" spans="1:47" s="16" customFormat="1" ht="15" customHeight="1" x14ac:dyDescent="0.2">
      <c r="A20" s="145" t="str">
        <f>IF(Contents!$A$1=2,"Total refined products produced","Итого производство нефтепродуктов ")</f>
        <v xml:space="preserve">Итого производство нефтепродуктов </v>
      </c>
      <c r="B20" s="304" t="str">
        <f>IF(Contents!$A$1=2,"th. t","тыс. т")</f>
        <v>тыс. т</v>
      </c>
      <c r="C20" s="140"/>
      <c r="D20" s="447">
        <v>65805</v>
      </c>
      <c r="E20" s="426"/>
      <c r="F20" s="447">
        <v>14280</v>
      </c>
      <c r="G20" s="447">
        <v>14919</v>
      </c>
      <c r="H20" s="447">
        <v>16784</v>
      </c>
      <c r="I20" s="447">
        <v>15767</v>
      </c>
      <c r="J20" s="447">
        <v>61750</v>
      </c>
      <c r="K20" s="426"/>
      <c r="L20" s="447">
        <v>14955</v>
      </c>
      <c r="M20" s="447">
        <v>15531</v>
      </c>
      <c r="N20" s="447">
        <v>16326</v>
      </c>
      <c r="O20" s="447">
        <v>16257</v>
      </c>
      <c r="P20" s="447">
        <v>63069</v>
      </c>
      <c r="Q20" s="426"/>
      <c r="R20" s="447">
        <v>16616</v>
      </c>
      <c r="S20" s="447">
        <v>17132</v>
      </c>
      <c r="T20" s="447">
        <v>18082</v>
      </c>
      <c r="U20" s="447">
        <v>18078</v>
      </c>
      <c r="V20" s="447">
        <v>69908</v>
      </c>
      <c r="W20" s="426"/>
      <c r="X20" s="447">
        <v>16732</v>
      </c>
      <c r="Y20" s="447">
        <v>17403</v>
      </c>
      <c r="Z20" s="447">
        <v>18171</v>
      </c>
      <c r="AA20" s="447">
        <v>17882</v>
      </c>
      <c r="AB20" s="447">
        <v>70188</v>
      </c>
      <c r="AC20" s="426"/>
      <c r="AD20" s="447">
        <v>17247</v>
      </c>
      <c r="AE20" s="447">
        <v>17580</v>
      </c>
      <c r="AF20" s="447">
        <v>18882</v>
      </c>
      <c r="AG20" s="447">
        <v>16110</v>
      </c>
      <c r="AH20" s="447">
        <v>69296</v>
      </c>
      <c r="AI20" s="426"/>
      <c r="AJ20" s="447">
        <v>16008</v>
      </c>
      <c r="AK20" s="447">
        <v>12667</v>
      </c>
      <c r="AL20" s="447">
        <v>14005</v>
      </c>
      <c r="AM20" s="447">
        <v>12423</v>
      </c>
      <c r="AN20" s="447">
        <v>55103</v>
      </c>
      <c r="AO20" s="426"/>
      <c r="AP20" s="447">
        <v>13613</v>
      </c>
      <c r="AQ20" s="447">
        <v>15138</v>
      </c>
      <c r="AR20" s="447">
        <v>16459</v>
      </c>
      <c r="AS20" s="447">
        <v>14814</v>
      </c>
      <c r="AT20" s="447">
        <v>60024</v>
      </c>
      <c r="AU20" s="445"/>
    </row>
    <row r="21" spans="1:47" s="16" customFormat="1" ht="15" customHeight="1" x14ac:dyDescent="0.2">
      <c r="A21" s="240" t="str">
        <f>IF(Contents!$A$1=2,"Refined products produced by the Group","Производство нефтепродуктов на НПЗ Группы")</f>
        <v>Производство нефтепродуктов на НПЗ Группы</v>
      </c>
      <c r="B21" s="304" t="str">
        <f>IF(Contents!$A$1=2,"th. t","тыс. т")</f>
        <v>тыс. т</v>
      </c>
      <c r="C21" s="141"/>
      <c r="D21" s="447">
        <v>64118</v>
      </c>
      <c r="E21" s="426"/>
      <c r="F21" s="447">
        <v>14080</v>
      </c>
      <c r="G21" s="447">
        <v>14713</v>
      </c>
      <c r="H21" s="447">
        <v>16507</v>
      </c>
      <c r="I21" s="447">
        <v>15600</v>
      </c>
      <c r="J21" s="447">
        <v>60900</v>
      </c>
      <c r="K21" s="426"/>
      <c r="L21" s="447">
        <v>14867</v>
      </c>
      <c r="M21" s="447">
        <v>15460</v>
      </c>
      <c r="N21" s="447">
        <v>16250</v>
      </c>
      <c r="O21" s="447">
        <v>15766</v>
      </c>
      <c r="P21" s="447">
        <v>62343</v>
      </c>
      <c r="Q21" s="426"/>
      <c r="R21" s="447">
        <v>15238</v>
      </c>
      <c r="S21" s="447">
        <v>15479</v>
      </c>
      <c r="T21" s="447">
        <v>16455</v>
      </c>
      <c r="U21" s="447">
        <v>16319</v>
      </c>
      <c r="V21" s="447">
        <v>63491</v>
      </c>
      <c r="W21" s="426"/>
      <c r="X21" s="447">
        <v>15089</v>
      </c>
      <c r="Y21" s="447">
        <v>15806</v>
      </c>
      <c r="Z21" s="447">
        <v>16590</v>
      </c>
      <c r="AA21" s="447">
        <v>16289</v>
      </c>
      <c r="AB21" s="447">
        <v>63774</v>
      </c>
      <c r="AC21" s="426"/>
      <c r="AD21" s="447">
        <v>15743</v>
      </c>
      <c r="AE21" s="447">
        <v>16027</v>
      </c>
      <c r="AF21" s="447">
        <v>17241</v>
      </c>
      <c r="AG21" s="447">
        <v>16070</v>
      </c>
      <c r="AH21" s="447">
        <v>65081</v>
      </c>
      <c r="AI21" s="426"/>
      <c r="AJ21" s="447">
        <v>15958</v>
      </c>
      <c r="AK21" s="447">
        <v>12641</v>
      </c>
      <c r="AL21" s="447">
        <v>13968</v>
      </c>
      <c r="AM21" s="447">
        <v>12397</v>
      </c>
      <c r="AN21" s="447">
        <v>54964</v>
      </c>
      <c r="AO21" s="426"/>
      <c r="AP21" s="447">
        <v>13613</v>
      </c>
      <c r="AQ21" s="447">
        <v>15134</v>
      </c>
      <c r="AR21" s="447">
        <v>16457</v>
      </c>
      <c r="AS21" s="447">
        <v>14811</v>
      </c>
      <c r="AT21" s="447">
        <v>60015</v>
      </c>
      <c r="AU21" s="445"/>
    </row>
    <row r="22" spans="1:47" s="1" customFormat="1" ht="15" customHeight="1" x14ac:dyDescent="0.2">
      <c r="A22" s="121" t="str">
        <f>IF(Contents!$A$1=2,"Production of the Group refineries in Russia","Объём производства на НПЗ Группы в России")</f>
        <v>Объём производства на НПЗ Группы в России</v>
      </c>
      <c r="B22" s="280" t="str">
        <f>IF(Contents!$A$1=2,"th. t","тыс. т")</f>
        <v>тыс. т</v>
      </c>
      <c r="C22" s="141"/>
      <c r="D22" s="418">
        <v>43673</v>
      </c>
      <c r="E22" s="418"/>
      <c r="F22" s="418">
        <v>9436</v>
      </c>
      <c r="G22" s="418">
        <v>9758</v>
      </c>
      <c r="H22" s="418">
        <v>10597</v>
      </c>
      <c r="I22" s="418">
        <v>9901</v>
      </c>
      <c r="J22" s="418">
        <v>39692</v>
      </c>
      <c r="K22" s="418"/>
      <c r="L22" s="418">
        <v>9453</v>
      </c>
      <c r="M22" s="418">
        <v>9365</v>
      </c>
      <c r="N22" s="418">
        <v>10555</v>
      </c>
      <c r="O22" s="418">
        <v>10250</v>
      </c>
      <c r="P22" s="418">
        <v>39623</v>
      </c>
      <c r="Q22" s="418"/>
      <c r="R22" s="418">
        <v>9911</v>
      </c>
      <c r="S22" s="418">
        <v>9857</v>
      </c>
      <c r="T22" s="418">
        <v>10471</v>
      </c>
      <c r="U22" s="418">
        <v>10507</v>
      </c>
      <c r="V22" s="418">
        <v>40746</v>
      </c>
      <c r="W22" s="418"/>
      <c r="X22" s="418">
        <v>10066</v>
      </c>
      <c r="Y22" s="418">
        <v>10045</v>
      </c>
      <c r="Z22" s="418">
        <v>10435</v>
      </c>
      <c r="AA22" s="418">
        <v>10439</v>
      </c>
      <c r="AB22" s="418">
        <v>40985</v>
      </c>
      <c r="AC22" s="418"/>
      <c r="AD22" s="418">
        <v>10400</v>
      </c>
      <c r="AE22" s="418">
        <v>10179</v>
      </c>
      <c r="AF22" s="418">
        <v>11032</v>
      </c>
      <c r="AG22" s="418">
        <v>10220</v>
      </c>
      <c r="AH22" s="418">
        <v>41831</v>
      </c>
      <c r="AI22" s="418"/>
      <c r="AJ22" s="418">
        <v>10353</v>
      </c>
      <c r="AK22" s="418">
        <v>8781</v>
      </c>
      <c r="AL22" s="418">
        <v>9722</v>
      </c>
      <c r="AM22" s="418">
        <v>9234</v>
      </c>
      <c r="AN22" s="418">
        <v>38090</v>
      </c>
      <c r="AO22" s="418"/>
      <c r="AP22" s="418">
        <v>9468</v>
      </c>
      <c r="AQ22" s="418">
        <v>9892</v>
      </c>
      <c r="AR22" s="418">
        <v>10718</v>
      </c>
      <c r="AS22" s="418">
        <v>10345</v>
      </c>
      <c r="AT22" s="418">
        <v>40423</v>
      </c>
      <c r="AU22" s="445"/>
    </row>
    <row r="23" spans="1:47" s="1" customFormat="1" ht="15" customHeight="1" x14ac:dyDescent="0.2">
      <c r="A23" s="122" t="str">
        <f>IF(Contents!$A$1=2,"diesel fuel","дизельное топливо")</f>
        <v>дизельное топливо</v>
      </c>
      <c r="B23" s="280" t="str">
        <f>IF(Contents!$A$1=2,"th. t","тыс. т")</f>
        <v>тыс. т</v>
      </c>
      <c r="C23" s="141"/>
      <c r="D23" s="439">
        <v>13129</v>
      </c>
      <c r="E23" s="439"/>
      <c r="F23" s="439">
        <v>3142</v>
      </c>
      <c r="G23" s="439">
        <v>2993</v>
      </c>
      <c r="H23" s="439">
        <v>3448</v>
      </c>
      <c r="I23" s="439">
        <v>3091</v>
      </c>
      <c r="J23" s="439">
        <v>12674</v>
      </c>
      <c r="K23" s="439"/>
      <c r="L23" s="439">
        <v>3247</v>
      </c>
      <c r="M23" s="439">
        <v>3142</v>
      </c>
      <c r="N23" s="439">
        <v>3241</v>
      </c>
      <c r="O23" s="439">
        <v>3259</v>
      </c>
      <c r="P23" s="439">
        <v>12889</v>
      </c>
      <c r="Q23" s="439"/>
      <c r="R23" s="439">
        <v>3678</v>
      </c>
      <c r="S23" s="439">
        <v>3900</v>
      </c>
      <c r="T23" s="439">
        <v>4070</v>
      </c>
      <c r="U23" s="439">
        <v>4109</v>
      </c>
      <c r="V23" s="439">
        <v>15757</v>
      </c>
      <c r="W23" s="439"/>
      <c r="X23" s="439">
        <v>4131</v>
      </c>
      <c r="Y23" s="439">
        <v>3986</v>
      </c>
      <c r="Z23" s="439">
        <v>3952</v>
      </c>
      <c r="AA23" s="439">
        <v>4146</v>
      </c>
      <c r="AB23" s="439">
        <v>16215</v>
      </c>
      <c r="AC23" s="439"/>
      <c r="AD23" s="439">
        <v>4161</v>
      </c>
      <c r="AE23" s="439">
        <v>3836</v>
      </c>
      <c r="AF23" s="439">
        <v>4339</v>
      </c>
      <c r="AG23" s="439">
        <v>4196</v>
      </c>
      <c r="AH23" s="439">
        <v>16532</v>
      </c>
      <c r="AI23" s="439"/>
      <c r="AJ23" s="418">
        <v>4326</v>
      </c>
      <c r="AK23" s="418">
        <v>3988</v>
      </c>
      <c r="AL23" s="418">
        <v>4010</v>
      </c>
      <c r="AM23" s="418">
        <v>3760</v>
      </c>
      <c r="AN23" s="418">
        <v>16084</v>
      </c>
      <c r="AO23" s="418"/>
      <c r="AP23" s="418">
        <v>3863</v>
      </c>
      <c r="AQ23" s="418">
        <v>3987</v>
      </c>
      <c r="AR23" s="418">
        <v>4379</v>
      </c>
      <c r="AS23" s="418">
        <v>4386</v>
      </c>
      <c r="AT23" s="418">
        <v>16615</v>
      </c>
      <c r="AU23" s="445"/>
    </row>
    <row r="24" spans="1:47" s="1" customFormat="1" ht="15" customHeight="1" x14ac:dyDescent="0.2">
      <c r="A24" s="122" t="str">
        <f>IF(Contents!$A$1=2,"motor gasoline","автомобильный бензин")</f>
        <v>автомобильный бензин</v>
      </c>
      <c r="B24" s="280" t="str">
        <f>IF(Contents!$A$1=2,"th. t","тыс. т")</f>
        <v>тыс. т</v>
      </c>
      <c r="C24" s="79"/>
      <c r="D24" s="439">
        <v>7066</v>
      </c>
      <c r="E24" s="438"/>
      <c r="F24" s="439">
        <v>1630</v>
      </c>
      <c r="G24" s="418">
        <v>1589</v>
      </c>
      <c r="H24" s="418">
        <v>1916</v>
      </c>
      <c r="I24" s="439">
        <v>1854</v>
      </c>
      <c r="J24" s="439">
        <v>6989</v>
      </c>
      <c r="K24" s="438"/>
      <c r="L24" s="439">
        <v>1806</v>
      </c>
      <c r="M24" s="418">
        <v>1837</v>
      </c>
      <c r="N24" s="418">
        <v>2152</v>
      </c>
      <c r="O24" s="418">
        <v>1978</v>
      </c>
      <c r="P24" s="418">
        <v>7773</v>
      </c>
      <c r="Q24" s="418"/>
      <c r="R24" s="439">
        <v>1832</v>
      </c>
      <c r="S24" s="439">
        <v>2047</v>
      </c>
      <c r="T24" s="439">
        <v>2198</v>
      </c>
      <c r="U24" s="439">
        <v>2066</v>
      </c>
      <c r="V24" s="439">
        <v>8143</v>
      </c>
      <c r="W24" s="439"/>
      <c r="X24" s="439">
        <v>2030</v>
      </c>
      <c r="Y24" s="439">
        <v>2022</v>
      </c>
      <c r="Z24" s="439">
        <v>2075</v>
      </c>
      <c r="AA24" s="439">
        <v>1895</v>
      </c>
      <c r="AB24" s="439">
        <v>8022</v>
      </c>
      <c r="AC24" s="439"/>
      <c r="AD24" s="439">
        <v>1831</v>
      </c>
      <c r="AE24" s="439">
        <v>1822</v>
      </c>
      <c r="AF24" s="439">
        <v>2202</v>
      </c>
      <c r="AG24" s="439">
        <v>2009</v>
      </c>
      <c r="AH24" s="439">
        <v>7864</v>
      </c>
      <c r="AI24" s="439"/>
      <c r="AJ24" s="418">
        <v>1976</v>
      </c>
      <c r="AK24" s="418">
        <v>1517</v>
      </c>
      <c r="AL24" s="418">
        <v>2104</v>
      </c>
      <c r="AM24" s="418">
        <v>1479</v>
      </c>
      <c r="AN24" s="418">
        <v>7076</v>
      </c>
      <c r="AO24" s="418"/>
      <c r="AP24" s="418">
        <v>1685</v>
      </c>
      <c r="AQ24" s="418">
        <v>1988</v>
      </c>
      <c r="AR24" s="418">
        <v>2265</v>
      </c>
      <c r="AS24" s="418">
        <v>2209</v>
      </c>
      <c r="AT24" s="418">
        <v>8147</v>
      </c>
      <c r="AU24" s="445"/>
    </row>
    <row r="25" spans="1:47" s="1" customFormat="1" ht="15" customHeight="1" x14ac:dyDescent="0.2">
      <c r="A25" s="122" t="str">
        <f>IF(Contents!$A$1=2,"fuel oil","топочный мазут")</f>
        <v>топочный мазут</v>
      </c>
      <c r="B25" s="280" t="str">
        <f>IF(Contents!$A$1=2,"th. t","тыс. т")</f>
        <v>тыс. т</v>
      </c>
      <c r="C25" s="141"/>
      <c r="D25" s="439">
        <v>9749</v>
      </c>
      <c r="E25" s="418"/>
      <c r="F25" s="439">
        <v>2087</v>
      </c>
      <c r="G25" s="418">
        <v>1993</v>
      </c>
      <c r="H25" s="418">
        <v>1926</v>
      </c>
      <c r="I25" s="439">
        <v>1998</v>
      </c>
      <c r="J25" s="439">
        <v>8004</v>
      </c>
      <c r="K25" s="418"/>
      <c r="L25" s="439">
        <v>1556</v>
      </c>
      <c r="M25" s="418">
        <v>1116</v>
      </c>
      <c r="N25" s="418">
        <v>1560</v>
      </c>
      <c r="O25" s="418">
        <v>1763</v>
      </c>
      <c r="P25" s="418">
        <v>5995</v>
      </c>
      <c r="Q25" s="418"/>
      <c r="R25" s="439">
        <v>1499</v>
      </c>
      <c r="S25" s="439">
        <v>1212</v>
      </c>
      <c r="T25" s="439">
        <v>1089</v>
      </c>
      <c r="U25" s="439">
        <v>1512</v>
      </c>
      <c r="V25" s="439">
        <v>5312</v>
      </c>
      <c r="W25" s="439"/>
      <c r="X25" s="439">
        <v>1274</v>
      </c>
      <c r="Y25" s="439">
        <v>1096</v>
      </c>
      <c r="Z25" s="439">
        <v>1218</v>
      </c>
      <c r="AA25" s="439">
        <v>1226</v>
      </c>
      <c r="AB25" s="439">
        <v>4814</v>
      </c>
      <c r="AC25" s="439"/>
      <c r="AD25" s="439">
        <v>1167</v>
      </c>
      <c r="AE25" s="439">
        <v>1339</v>
      </c>
      <c r="AF25" s="439">
        <v>1204</v>
      </c>
      <c r="AG25" s="439">
        <v>947</v>
      </c>
      <c r="AH25" s="439">
        <v>4657</v>
      </c>
      <c r="AI25" s="439"/>
      <c r="AJ25" s="418">
        <v>791</v>
      </c>
      <c r="AK25" s="418">
        <v>547</v>
      </c>
      <c r="AL25" s="418">
        <v>839</v>
      </c>
      <c r="AM25" s="418">
        <v>965</v>
      </c>
      <c r="AN25" s="418">
        <v>3142</v>
      </c>
      <c r="AO25" s="418"/>
      <c r="AP25" s="418">
        <v>890</v>
      </c>
      <c r="AQ25" s="418">
        <v>1114</v>
      </c>
      <c r="AR25" s="418">
        <v>1213</v>
      </c>
      <c r="AS25" s="418">
        <v>956</v>
      </c>
      <c r="AT25" s="418">
        <v>4173</v>
      </c>
      <c r="AU25" s="445"/>
    </row>
    <row r="26" spans="1:47" s="1" customFormat="1" ht="15" customHeight="1" x14ac:dyDescent="0.2">
      <c r="A26" s="122" t="str">
        <f>IF(Contents!$A$1=2,"jet fuel ","реактивное топливо")</f>
        <v>реактивное топливо</v>
      </c>
      <c r="B26" s="280" t="str">
        <f>IF(Contents!$A$1=2,"th. t","тыс. т")</f>
        <v>тыс. т</v>
      </c>
      <c r="C26" s="141"/>
      <c r="D26" s="439">
        <v>2587</v>
      </c>
      <c r="E26" s="439"/>
      <c r="F26" s="439">
        <v>437</v>
      </c>
      <c r="G26" s="439">
        <v>639</v>
      </c>
      <c r="H26" s="439">
        <v>618</v>
      </c>
      <c r="I26" s="439">
        <v>526</v>
      </c>
      <c r="J26" s="439">
        <v>2220</v>
      </c>
      <c r="K26" s="439"/>
      <c r="L26" s="439">
        <v>441</v>
      </c>
      <c r="M26" s="439">
        <v>469</v>
      </c>
      <c r="N26" s="439">
        <v>695</v>
      </c>
      <c r="O26" s="439">
        <v>583</v>
      </c>
      <c r="P26" s="439">
        <v>2188</v>
      </c>
      <c r="Q26" s="439"/>
      <c r="R26" s="439">
        <v>567</v>
      </c>
      <c r="S26" s="439">
        <v>651</v>
      </c>
      <c r="T26" s="439">
        <v>803</v>
      </c>
      <c r="U26" s="439">
        <v>723</v>
      </c>
      <c r="V26" s="439">
        <v>2744</v>
      </c>
      <c r="W26" s="439"/>
      <c r="X26" s="439">
        <v>616</v>
      </c>
      <c r="Y26" s="439">
        <v>738</v>
      </c>
      <c r="Z26" s="439">
        <v>722</v>
      </c>
      <c r="AA26" s="439">
        <v>684</v>
      </c>
      <c r="AB26" s="439">
        <v>2760</v>
      </c>
      <c r="AC26" s="439"/>
      <c r="AD26" s="439">
        <v>625</v>
      </c>
      <c r="AE26" s="439">
        <v>727</v>
      </c>
      <c r="AF26" s="439">
        <v>835</v>
      </c>
      <c r="AG26" s="439">
        <v>656</v>
      </c>
      <c r="AH26" s="439">
        <v>2843</v>
      </c>
      <c r="AI26" s="439"/>
      <c r="AJ26" s="418">
        <v>629</v>
      </c>
      <c r="AK26" s="418">
        <v>374</v>
      </c>
      <c r="AL26" s="418">
        <v>692</v>
      </c>
      <c r="AM26" s="418">
        <v>487</v>
      </c>
      <c r="AN26" s="418">
        <v>2182</v>
      </c>
      <c r="AO26" s="418"/>
      <c r="AP26" s="418">
        <v>550</v>
      </c>
      <c r="AQ26" s="418">
        <v>669</v>
      </c>
      <c r="AR26" s="418">
        <v>822</v>
      </c>
      <c r="AS26" s="418">
        <v>706</v>
      </c>
      <c r="AT26" s="418">
        <v>2747</v>
      </c>
      <c r="AU26" s="445"/>
    </row>
    <row r="27" spans="1:47" s="1" customFormat="1" ht="15" customHeight="1" x14ac:dyDescent="0.2">
      <c r="A27" s="123" t="str">
        <f>IF(Contents!$A$1=2,"lubricants and components","масла и компоненты")</f>
        <v>масла и компоненты</v>
      </c>
      <c r="B27" s="280" t="str">
        <f>IF(Contents!$A$1=2,"th. t","тыс. т")</f>
        <v>тыс. т</v>
      </c>
      <c r="C27" s="79"/>
      <c r="D27" s="439">
        <v>1109</v>
      </c>
      <c r="E27" s="438"/>
      <c r="F27" s="439">
        <v>197</v>
      </c>
      <c r="G27" s="438">
        <v>250</v>
      </c>
      <c r="H27" s="438">
        <v>234</v>
      </c>
      <c r="I27" s="439">
        <v>247</v>
      </c>
      <c r="J27" s="439">
        <v>928</v>
      </c>
      <c r="K27" s="438"/>
      <c r="L27" s="439">
        <v>239</v>
      </c>
      <c r="M27" s="438">
        <v>263</v>
      </c>
      <c r="N27" s="438">
        <v>265</v>
      </c>
      <c r="O27" s="438">
        <v>248</v>
      </c>
      <c r="P27" s="438">
        <v>1015</v>
      </c>
      <c r="Q27" s="438"/>
      <c r="R27" s="439">
        <v>268</v>
      </c>
      <c r="S27" s="439">
        <v>283</v>
      </c>
      <c r="T27" s="439">
        <v>321</v>
      </c>
      <c r="U27" s="439">
        <v>291</v>
      </c>
      <c r="V27" s="439">
        <v>1163</v>
      </c>
      <c r="W27" s="439"/>
      <c r="X27" s="439">
        <v>281</v>
      </c>
      <c r="Y27" s="439">
        <v>188</v>
      </c>
      <c r="Z27" s="439">
        <v>223</v>
      </c>
      <c r="AA27" s="439">
        <v>269</v>
      </c>
      <c r="AB27" s="439">
        <v>961</v>
      </c>
      <c r="AC27" s="439"/>
      <c r="AD27" s="439">
        <v>248</v>
      </c>
      <c r="AE27" s="439">
        <v>212</v>
      </c>
      <c r="AF27" s="439">
        <v>261</v>
      </c>
      <c r="AG27" s="439">
        <v>242</v>
      </c>
      <c r="AH27" s="439">
        <v>963</v>
      </c>
      <c r="AI27" s="439"/>
      <c r="AJ27" s="418">
        <v>248</v>
      </c>
      <c r="AK27" s="418">
        <v>218</v>
      </c>
      <c r="AL27" s="418">
        <v>202</v>
      </c>
      <c r="AM27" s="418">
        <v>255</v>
      </c>
      <c r="AN27" s="418">
        <v>923</v>
      </c>
      <c r="AO27" s="418"/>
      <c r="AP27" s="418">
        <v>229</v>
      </c>
      <c r="AQ27" s="418">
        <v>200</v>
      </c>
      <c r="AR27" s="418">
        <v>216</v>
      </c>
      <c r="AS27" s="418">
        <v>211</v>
      </c>
      <c r="AT27" s="418">
        <v>856</v>
      </c>
      <c r="AU27" s="445"/>
    </row>
    <row r="28" spans="1:47" s="206" customFormat="1" ht="15" customHeight="1" x14ac:dyDescent="0.2">
      <c r="A28" s="353" t="str">
        <f>IF(Contents!$A$1=2,"straight-run gasoline","прямогонный бензин")</f>
        <v>прямогонный бензин</v>
      </c>
      <c r="B28" s="280" t="str">
        <f>IF(Contents!$A$1=2,"th. t","тыс. т")</f>
        <v>тыс. т</v>
      </c>
      <c r="C28" s="79"/>
      <c r="D28" s="439">
        <v>0</v>
      </c>
      <c r="E28" s="438"/>
      <c r="F28" s="439">
        <v>0</v>
      </c>
      <c r="G28" s="438">
        <v>0</v>
      </c>
      <c r="H28" s="438">
        <v>0</v>
      </c>
      <c r="I28" s="439">
        <v>0</v>
      </c>
      <c r="J28" s="439">
        <v>0</v>
      </c>
      <c r="K28" s="438"/>
      <c r="L28" s="439">
        <v>0</v>
      </c>
      <c r="M28" s="438">
        <v>0</v>
      </c>
      <c r="N28" s="438">
        <v>0</v>
      </c>
      <c r="O28" s="438">
        <v>0</v>
      </c>
      <c r="P28" s="438">
        <v>0</v>
      </c>
      <c r="Q28" s="438"/>
      <c r="R28" s="439">
        <v>0</v>
      </c>
      <c r="S28" s="439">
        <v>0</v>
      </c>
      <c r="T28" s="439">
        <v>0</v>
      </c>
      <c r="U28" s="439">
        <v>0</v>
      </c>
      <c r="V28" s="439">
        <v>0</v>
      </c>
      <c r="W28" s="439"/>
      <c r="X28" s="439">
        <v>557</v>
      </c>
      <c r="Y28" s="439">
        <v>570</v>
      </c>
      <c r="Z28" s="439">
        <v>418</v>
      </c>
      <c r="AA28" s="439">
        <v>598</v>
      </c>
      <c r="AB28" s="439">
        <v>2143</v>
      </c>
      <c r="AC28" s="439"/>
      <c r="AD28" s="439">
        <v>769</v>
      </c>
      <c r="AE28" s="439">
        <v>738</v>
      </c>
      <c r="AF28" s="439">
        <v>525</v>
      </c>
      <c r="AG28" s="439">
        <v>623</v>
      </c>
      <c r="AH28" s="439">
        <v>2655</v>
      </c>
      <c r="AI28" s="439"/>
      <c r="AJ28" s="418">
        <v>736</v>
      </c>
      <c r="AK28" s="418">
        <v>656</v>
      </c>
      <c r="AL28" s="418">
        <v>430</v>
      </c>
      <c r="AM28" s="418">
        <v>636</v>
      </c>
      <c r="AN28" s="418">
        <v>2458</v>
      </c>
      <c r="AO28" s="418"/>
      <c r="AP28" s="418">
        <v>635</v>
      </c>
      <c r="AQ28" s="418">
        <v>623</v>
      </c>
      <c r="AR28" s="418">
        <v>561</v>
      </c>
      <c r="AS28" s="418">
        <v>600</v>
      </c>
      <c r="AT28" s="418">
        <v>2419</v>
      </c>
      <c r="AU28" s="445"/>
    </row>
    <row r="29" spans="1:47" s="206" customFormat="1" ht="15" customHeight="1" x14ac:dyDescent="0.2">
      <c r="A29" s="353" t="str">
        <f>IF(Contents!$A$1=2,"vacuum gas oil","вакуумный газойль")</f>
        <v>вакуумный газойль</v>
      </c>
      <c r="B29" s="280" t="str">
        <f>IF(Contents!$A$1=2,"th. t","тыс. т")</f>
        <v>тыс. т</v>
      </c>
      <c r="C29" s="79"/>
      <c r="D29" s="439">
        <v>0</v>
      </c>
      <c r="E29" s="438"/>
      <c r="F29" s="439">
        <v>0</v>
      </c>
      <c r="G29" s="438">
        <v>0</v>
      </c>
      <c r="H29" s="438">
        <v>0</v>
      </c>
      <c r="I29" s="439">
        <v>0</v>
      </c>
      <c r="J29" s="439">
        <v>0</v>
      </c>
      <c r="K29" s="438"/>
      <c r="L29" s="439">
        <v>0</v>
      </c>
      <c r="M29" s="438">
        <v>0</v>
      </c>
      <c r="N29" s="438">
        <v>0</v>
      </c>
      <c r="O29" s="438">
        <v>0</v>
      </c>
      <c r="P29" s="438">
        <v>0</v>
      </c>
      <c r="Q29" s="438"/>
      <c r="R29" s="439">
        <v>0</v>
      </c>
      <c r="S29" s="439">
        <v>0</v>
      </c>
      <c r="T29" s="439">
        <v>0</v>
      </c>
      <c r="U29" s="439">
        <v>0</v>
      </c>
      <c r="V29" s="439">
        <v>0</v>
      </c>
      <c r="W29" s="439"/>
      <c r="X29" s="439">
        <v>62</v>
      </c>
      <c r="Y29" s="439">
        <v>135</v>
      </c>
      <c r="Z29" s="439">
        <v>377</v>
      </c>
      <c r="AA29" s="439">
        <v>270</v>
      </c>
      <c r="AB29" s="439">
        <v>844</v>
      </c>
      <c r="AC29" s="439"/>
      <c r="AD29" s="439">
        <v>237</v>
      </c>
      <c r="AE29" s="439">
        <v>44</v>
      </c>
      <c r="AF29" s="418">
        <v>0</v>
      </c>
      <c r="AG29" s="418">
        <v>51</v>
      </c>
      <c r="AH29" s="418">
        <v>332</v>
      </c>
      <c r="AI29" s="418"/>
      <c r="AJ29" s="418">
        <v>0</v>
      </c>
      <c r="AK29" s="418">
        <v>20</v>
      </c>
      <c r="AL29" s="418">
        <v>131</v>
      </c>
      <c r="AM29" s="418">
        <v>438</v>
      </c>
      <c r="AN29" s="418">
        <v>589</v>
      </c>
      <c r="AO29" s="418"/>
      <c r="AP29" s="418">
        <v>552</v>
      </c>
      <c r="AQ29" s="418">
        <v>81</v>
      </c>
      <c r="AR29" s="418">
        <v>0</v>
      </c>
      <c r="AS29" s="418" t="s">
        <v>10</v>
      </c>
      <c r="AT29" s="418">
        <v>633</v>
      </c>
      <c r="AU29" s="445"/>
    </row>
    <row r="30" spans="1:47" s="206" customFormat="1" ht="15" customHeight="1" x14ac:dyDescent="0.2">
      <c r="A30" s="353" t="str">
        <f>IF(Contents!$A$1=2,"bitumen","битум")</f>
        <v>битум</v>
      </c>
      <c r="B30" s="280" t="str">
        <f>IF(Contents!$A$1=2,"th. t","тыс. т")</f>
        <v>тыс. т</v>
      </c>
      <c r="C30" s="79"/>
      <c r="D30" s="439">
        <v>0</v>
      </c>
      <c r="E30" s="438"/>
      <c r="F30" s="439">
        <v>0</v>
      </c>
      <c r="G30" s="438">
        <v>0</v>
      </c>
      <c r="H30" s="438">
        <v>0</v>
      </c>
      <c r="I30" s="439">
        <v>0</v>
      </c>
      <c r="J30" s="439">
        <v>0</v>
      </c>
      <c r="K30" s="438"/>
      <c r="L30" s="439">
        <v>0</v>
      </c>
      <c r="M30" s="438">
        <v>0</v>
      </c>
      <c r="N30" s="438">
        <v>0</v>
      </c>
      <c r="O30" s="438">
        <v>0</v>
      </c>
      <c r="P30" s="438">
        <v>0</v>
      </c>
      <c r="Q30" s="438"/>
      <c r="R30" s="439">
        <v>0</v>
      </c>
      <c r="S30" s="439">
        <v>0</v>
      </c>
      <c r="T30" s="439">
        <v>0</v>
      </c>
      <c r="U30" s="439">
        <v>0</v>
      </c>
      <c r="V30" s="439">
        <v>0</v>
      </c>
      <c r="W30" s="439"/>
      <c r="X30" s="439">
        <v>135</v>
      </c>
      <c r="Y30" s="439">
        <v>227</v>
      </c>
      <c r="Z30" s="439">
        <v>273</v>
      </c>
      <c r="AA30" s="439">
        <v>158</v>
      </c>
      <c r="AB30" s="439">
        <v>793</v>
      </c>
      <c r="AC30" s="439"/>
      <c r="AD30" s="439">
        <v>197</v>
      </c>
      <c r="AE30" s="439">
        <v>233</v>
      </c>
      <c r="AF30" s="439">
        <v>262</v>
      </c>
      <c r="AG30" s="439">
        <v>216</v>
      </c>
      <c r="AH30" s="439">
        <v>908</v>
      </c>
      <c r="AI30" s="439"/>
      <c r="AJ30" s="418">
        <v>229</v>
      </c>
      <c r="AK30" s="418">
        <v>255</v>
      </c>
      <c r="AL30" s="418">
        <v>275</v>
      </c>
      <c r="AM30" s="418">
        <v>145</v>
      </c>
      <c r="AN30" s="418">
        <v>904</v>
      </c>
      <c r="AO30" s="418"/>
      <c r="AP30" s="418">
        <v>118</v>
      </c>
      <c r="AQ30" s="418">
        <v>263</v>
      </c>
      <c r="AR30" s="418">
        <v>271</v>
      </c>
      <c r="AS30" s="418">
        <v>271</v>
      </c>
      <c r="AT30" s="418">
        <v>923</v>
      </c>
      <c r="AU30" s="445"/>
    </row>
    <row r="31" spans="1:47" s="206" customFormat="1" ht="15" customHeight="1" x14ac:dyDescent="0.2">
      <c r="A31" s="353" t="str">
        <f>IF(Contents!$A$1=2,"coke","кокс")</f>
        <v>кокс</v>
      </c>
      <c r="B31" s="280" t="str">
        <f>IF(Contents!$A$1=2,"th. t","тыс. т")</f>
        <v>тыс. т</v>
      </c>
      <c r="C31" s="79"/>
      <c r="D31" s="439">
        <v>0</v>
      </c>
      <c r="E31" s="438"/>
      <c r="F31" s="439">
        <v>0</v>
      </c>
      <c r="G31" s="438">
        <v>0</v>
      </c>
      <c r="H31" s="438">
        <v>0</v>
      </c>
      <c r="I31" s="439">
        <v>0</v>
      </c>
      <c r="J31" s="439">
        <v>0</v>
      </c>
      <c r="K31" s="438"/>
      <c r="L31" s="439">
        <v>0</v>
      </c>
      <c r="M31" s="438">
        <v>0</v>
      </c>
      <c r="N31" s="438">
        <v>0</v>
      </c>
      <c r="O31" s="438">
        <v>0</v>
      </c>
      <c r="P31" s="438">
        <v>0</v>
      </c>
      <c r="Q31" s="438"/>
      <c r="R31" s="439">
        <v>0</v>
      </c>
      <c r="S31" s="439">
        <v>0</v>
      </c>
      <c r="T31" s="439">
        <v>0</v>
      </c>
      <c r="U31" s="439">
        <v>0</v>
      </c>
      <c r="V31" s="439">
        <v>0</v>
      </c>
      <c r="W31" s="439"/>
      <c r="X31" s="439">
        <v>287</v>
      </c>
      <c r="Y31" s="439">
        <v>289</v>
      </c>
      <c r="Z31" s="439">
        <v>245</v>
      </c>
      <c r="AA31" s="439">
        <v>285</v>
      </c>
      <c r="AB31" s="439">
        <v>1106</v>
      </c>
      <c r="AC31" s="439"/>
      <c r="AD31" s="439">
        <v>280</v>
      </c>
      <c r="AE31" s="439">
        <v>224</v>
      </c>
      <c r="AF31" s="439">
        <v>276</v>
      </c>
      <c r="AG31" s="439">
        <v>292</v>
      </c>
      <c r="AH31" s="439">
        <v>1072</v>
      </c>
      <c r="AI31" s="439"/>
      <c r="AJ31" s="418">
        <v>297</v>
      </c>
      <c r="AK31" s="418">
        <v>289</v>
      </c>
      <c r="AL31" s="418">
        <v>265</v>
      </c>
      <c r="AM31" s="418">
        <v>257</v>
      </c>
      <c r="AN31" s="418">
        <v>1108</v>
      </c>
      <c r="AO31" s="418"/>
      <c r="AP31" s="418">
        <v>306</v>
      </c>
      <c r="AQ31" s="418">
        <v>235</v>
      </c>
      <c r="AR31" s="418">
        <v>264</v>
      </c>
      <c r="AS31" s="418">
        <v>295</v>
      </c>
      <c r="AT31" s="418">
        <v>1100</v>
      </c>
      <c r="AU31" s="445"/>
    </row>
    <row r="32" spans="1:47" s="206" customFormat="1" ht="15" customHeight="1" x14ac:dyDescent="0.2">
      <c r="A32" s="353" t="str">
        <f>IF(Contents!$A$1=2,"bunker fuel","судовое топливо")</f>
        <v>судовое топливо</v>
      </c>
      <c r="B32" s="280" t="str">
        <f>IF(Contents!$A$1=2,"th. t","тыс. т")</f>
        <v>тыс. т</v>
      </c>
      <c r="C32" s="79"/>
      <c r="D32" s="439">
        <v>0</v>
      </c>
      <c r="E32" s="438"/>
      <c r="F32" s="439">
        <v>0</v>
      </c>
      <c r="G32" s="438">
        <v>0</v>
      </c>
      <c r="H32" s="438">
        <v>0</v>
      </c>
      <c r="I32" s="439">
        <v>0</v>
      </c>
      <c r="J32" s="439">
        <v>0</v>
      </c>
      <c r="K32" s="438"/>
      <c r="L32" s="439">
        <v>0</v>
      </c>
      <c r="M32" s="438">
        <v>0</v>
      </c>
      <c r="N32" s="438">
        <v>0</v>
      </c>
      <c r="O32" s="438">
        <v>0</v>
      </c>
      <c r="P32" s="438">
        <v>0</v>
      </c>
      <c r="Q32" s="438"/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/>
      <c r="X32" s="439">
        <v>402</v>
      </c>
      <c r="Y32" s="439">
        <v>379</v>
      </c>
      <c r="Z32" s="439">
        <v>399</v>
      </c>
      <c r="AA32" s="439">
        <v>411</v>
      </c>
      <c r="AB32" s="439">
        <v>1591</v>
      </c>
      <c r="AC32" s="439"/>
      <c r="AD32" s="439">
        <v>313</v>
      </c>
      <c r="AE32" s="439">
        <v>370</v>
      </c>
      <c r="AF32" s="439">
        <v>450</v>
      </c>
      <c r="AG32" s="439">
        <v>413</v>
      </c>
      <c r="AH32" s="439">
        <v>1546</v>
      </c>
      <c r="AI32" s="439"/>
      <c r="AJ32" s="418">
        <v>492</v>
      </c>
      <c r="AK32" s="418">
        <v>569</v>
      </c>
      <c r="AL32" s="418">
        <v>385</v>
      </c>
      <c r="AM32" s="418">
        <v>576</v>
      </c>
      <c r="AN32" s="418">
        <v>2022</v>
      </c>
      <c r="AO32" s="418"/>
      <c r="AP32" s="418">
        <v>333</v>
      </c>
      <c r="AQ32" s="418">
        <v>378</v>
      </c>
      <c r="AR32" s="418">
        <v>370</v>
      </c>
      <c r="AS32" s="418">
        <v>379</v>
      </c>
      <c r="AT32" s="418">
        <v>1460</v>
      </c>
      <c r="AU32" s="445"/>
    </row>
    <row r="33" spans="1:47" s="206" customFormat="1" ht="15" customHeight="1" x14ac:dyDescent="0.2">
      <c r="A33" s="353" t="str">
        <f>IF(Contents!$A$1=2,"gas products","газопереработка")</f>
        <v>газопереработка</v>
      </c>
      <c r="B33" s="280" t="str">
        <f>IF(Contents!$A$1=2,"th. t","тыс. т")</f>
        <v>тыс. т</v>
      </c>
      <c r="C33" s="79"/>
      <c r="D33" s="439">
        <v>0</v>
      </c>
      <c r="E33" s="438"/>
      <c r="F33" s="439">
        <v>0</v>
      </c>
      <c r="G33" s="438">
        <v>0</v>
      </c>
      <c r="H33" s="438">
        <v>0</v>
      </c>
      <c r="I33" s="439">
        <v>0</v>
      </c>
      <c r="J33" s="439">
        <v>0</v>
      </c>
      <c r="K33" s="438"/>
      <c r="L33" s="439">
        <v>0</v>
      </c>
      <c r="M33" s="438">
        <v>0</v>
      </c>
      <c r="N33" s="438">
        <v>0</v>
      </c>
      <c r="O33" s="438">
        <v>0</v>
      </c>
      <c r="P33" s="438">
        <v>0</v>
      </c>
      <c r="Q33" s="438"/>
      <c r="R33" s="439">
        <v>0</v>
      </c>
      <c r="S33" s="439">
        <v>0</v>
      </c>
      <c r="T33" s="439">
        <v>0</v>
      </c>
      <c r="U33" s="439">
        <v>0</v>
      </c>
      <c r="V33" s="439">
        <v>0</v>
      </c>
      <c r="W33" s="439"/>
      <c r="X33" s="439">
        <v>87</v>
      </c>
      <c r="Y33" s="439">
        <v>91</v>
      </c>
      <c r="Z33" s="439">
        <v>95</v>
      </c>
      <c r="AA33" s="439">
        <v>82</v>
      </c>
      <c r="AB33" s="439">
        <v>355</v>
      </c>
      <c r="AC33" s="439"/>
      <c r="AD33" s="439">
        <v>82</v>
      </c>
      <c r="AE33" s="439">
        <v>78</v>
      </c>
      <c r="AF33" s="439">
        <v>85</v>
      </c>
      <c r="AG33" s="439">
        <v>72</v>
      </c>
      <c r="AH33" s="439">
        <v>317</v>
      </c>
      <c r="AI33" s="439"/>
      <c r="AJ33" s="418">
        <v>80</v>
      </c>
      <c r="AK33" s="418">
        <v>69</v>
      </c>
      <c r="AL33" s="418">
        <v>90</v>
      </c>
      <c r="AM33" s="418">
        <v>68</v>
      </c>
      <c r="AN33" s="418">
        <v>307</v>
      </c>
      <c r="AO33" s="418"/>
      <c r="AP33" s="418">
        <v>71</v>
      </c>
      <c r="AQ33" s="418">
        <v>88</v>
      </c>
      <c r="AR33" s="418">
        <v>88</v>
      </c>
      <c r="AS33" s="418">
        <v>74</v>
      </c>
      <c r="AT33" s="418">
        <v>321</v>
      </c>
      <c r="AU33" s="445"/>
    </row>
    <row r="34" spans="1:47" s="206" customFormat="1" ht="15" customHeight="1" x14ac:dyDescent="0.2">
      <c r="A34" s="353" t="str">
        <f>IF(Contents!$A$1=2,"petrochemicals","нефтехимия")</f>
        <v>нефтехимия</v>
      </c>
      <c r="B34" s="280" t="str">
        <f>IF(Contents!$A$1=2,"th. t","тыс. т")</f>
        <v>тыс. т</v>
      </c>
      <c r="C34" s="79"/>
      <c r="D34" s="439">
        <v>0</v>
      </c>
      <c r="E34" s="438"/>
      <c r="F34" s="439">
        <v>0</v>
      </c>
      <c r="G34" s="438">
        <v>0</v>
      </c>
      <c r="H34" s="438">
        <v>0</v>
      </c>
      <c r="I34" s="439">
        <v>0</v>
      </c>
      <c r="J34" s="439">
        <v>0</v>
      </c>
      <c r="K34" s="438"/>
      <c r="L34" s="439">
        <v>0</v>
      </c>
      <c r="M34" s="438">
        <v>0</v>
      </c>
      <c r="N34" s="438">
        <v>0</v>
      </c>
      <c r="O34" s="438">
        <v>0</v>
      </c>
      <c r="P34" s="438">
        <v>0</v>
      </c>
      <c r="Q34" s="438"/>
      <c r="R34" s="439">
        <v>0</v>
      </c>
      <c r="S34" s="439">
        <v>0</v>
      </c>
      <c r="T34" s="439">
        <v>0</v>
      </c>
      <c r="U34" s="439">
        <v>0</v>
      </c>
      <c r="V34" s="439">
        <v>0</v>
      </c>
      <c r="W34" s="439"/>
      <c r="X34" s="439">
        <v>93</v>
      </c>
      <c r="Y34" s="439">
        <v>84</v>
      </c>
      <c r="Z34" s="439">
        <v>81</v>
      </c>
      <c r="AA34" s="439">
        <v>69</v>
      </c>
      <c r="AB34" s="439">
        <v>327</v>
      </c>
      <c r="AC34" s="439"/>
      <c r="AD34" s="439">
        <v>99</v>
      </c>
      <c r="AE34" s="439">
        <v>92</v>
      </c>
      <c r="AF34" s="439">
        <v>98</v>
      </c>
      <c r="AG34" s="439">
        <v>103</v>
      </c>
      <c r="AH34" s="439">
        <v>392</v>
      </c>
      <c r="AI34" s="439"/>
      <c r="AJ34" s="418">
        <v>100</v>
      </c>
      <c r="AK34" s="418">
        <v>63</v>
      </c>
      <c r="AL34" s="418">
        <v>82</v>
      </c>
      <c r="AM34" s="418">
        <v>53</v>
      </c>
      <c r="AN34" s="418">
        <v>298</v>
      </c>
      <c r="AO34" s="418"/>
      <c r="AP34" s="418">
        <v>77</v>
      </c>
      <c r="AQ34" s="418">
        <v>90</v>
      </c>
      <c r="AR34" s="418">
        <v>99</v>
      </c>
      <c r="AS34" s="418">
        <v>106</v>
      </c>
      <c r="AT34" s="418">
        <v>372</v>
      </c>
      <c r="AU34" s="445"/>
    </row>
    <row r="35" spans="1:47" s="1" customFormat="1" ht="15" customHeight="1" x14ac:dyDescent="0.2">
      <c r="A35" s="122" t="str">
        <f>IF(Contents!$A$1=2,"other products","прочие")</f>
        <v>прочие</v>
      </c>
      <c r="B35" s="280" t="str">
        <f>IF(Contents!$A$1=2,"th. t","тыс. т")</f>
        <v>тыс. т</v>
      </c>
      <c r="C35" s="141"/>
      <c r="D35" s="439">
        <v>10033</v>
      </c>
      <c r="E35" s="439"/>
      <c r="F35" s="439">
        <v>1943</v>
      </c>
      <c r="G35" s="439">
        <v>2294</v>
      </c>
      <c r="H35" s="439">
        <v>2455</v>
      </c>
      <c r="I35" s="439">
        <v>2185</v>
      </c>
      <c r="J35" s="439">
        <v>8877</v>
      </c>
      <c r="K35" s="439"/>
      <c r="L35" s="439">
        <v>2164</v>
      </c>
      <c r="M35" s="439">
        <v>2538</v>
      </c>
      <c r="N35" s="439">
        <v>2642</v>
      </c>
      <c r="O35" s="439">
        <v>2419</v>
      </c>
      <c r="P35" s="439">
        <v>9763</v>
      </c>
      <c r="Q35" s="439"/>
      <c r="R35" s="439">
        <v>2067</v>
      </c>
      <c r="S35" s="439">
        <v>1764</v>
      </c>
      <c r="T35" s="439">
        <v>1990</v>
      </c>
      <c r="U35" s="439">
        <v>1806</v>
      </c>
      <c r="V35" s="439">
        <v>7627</v>
      </c>
      <c r="W35" s="439"/>
      <c r="X35" s="439">
        <v>111</v>
      </c>
      <c r="Y35" s="439">
        <v>240</v>
      </c>
      <c r="Z35" s="439">
        <v>357</v>
      </c>
      <c r="AA35" s="439">
        <v>346</v>
      </c>
      <c r="AB35" s="439">
        <v>1054</v>
      </c>
      <c r="AC35" s="439"/>
      <c r="AD35" s="439">
        <v>391</v>
      </c>
      <c r="AE35" s="439">
        <v>464</v>
      </c>
      <c r="AF35" s="439">
        <v>495</v>
      </c>
      <c r="AG35" s="439">
        <v>400</v>
      </c>
      <c r="AH35" s="439">
        <v>1750</v>
      </c>
      <c r="AI35" s="439"/>
      <c r="AJ35" s="418">
        <v>449</v>
      </c>
      <c r="AK35" s="418">
        <v>216</v>
      </c>
      <c r="AL35" s="418">
        <v>217</v>
      </c>
      <c r="AM35" s="418">
        <v>115</v>
      </c>
      <c r="AN35" s="418">
        <v>997</v>
      </c>
      <c r="AO35" s="418"/>
      <c r="AP35" s="418">
        <v>159</v>
      </c>
      <c r="AQ35" s="418">
        <v>176</v>
      </c>
      <c r="AR35" s="418">
        <v>170</v>
      </c>
      <c r="AS35" s="418">
        <v>152</v>
      </c>
      <c r="AT35" s="418">
        <v>657</v>
      </c>
      <c r="AU35" s="445"/>
    </row>
    <row r="36" spans="1:47" s="1" customFormat="1" ht="15" customHeight="1" x14ac:dyDescent="0.2">
      <c r="A36" s="121" t="str">
        <f>IF(Contents!$A$1=2,"Production of the Group refineries outside Russia","Объём производства на НПЗ Группы за рубежом")</f>
        <v>Объём производства на НПЗ Группы за рубежом</v>
      </c>
      <c r="B36" s="280" t="str">
        <f>IF(Contents!$A$1=2,"th. t","тыс. т")</f>
        <v>тыс. т</v>
      </c>
      <c r="C36" s="141"/>
      <c r="D36" s="418">
        <v>20445</v>
      </c>
      <c r="E36" s="418"/>
      <c r="F36" s="418">
        <v>4644</v>
      </c>
      <c r="G36" s="418">
        <v>4955</v>
      </c>
      <c r="H36" s="418">
        <v>5910</v>
      </c>
      <c r="I36" s="418">
        <v>5699</v>
      </c>
      <c r="J36" s="418">
        <v>21208</v>
      </c>
      <c r="K36" s="418"/>
      <c r="L36" s="418">
        <v>5414</v>
      </c>
      <c r="M36" s="418">
        <v>6095</v>
      </c>
      <c r="N36" s="418">
        <v>5695</v>
      </c>
      <c r="O36" s="418">
        <v>5516</v>
      </c>
      <c r="P36" s="418">
        <v>22720</v>
      </c>
      <c r="Q36" s="418"/>
      <c r="R36" s="418">
        <v>5327</v>
      </c>
      <c r="S36" s="418">
        <v>5622</v>
      </c>
      <c r="T36" s="418">
        <v>5984</v>
      </c>
      <c r="U36" s="418">
        <v>5812</v>
      </c>
      <c r="V36" s="418">
        <v>22745</v>
      </c>
      <c r="W36" s="418"/>
      <c r="X36" s="418">
        <v>5023</v>
      </c>
      <c r="Y36" s="418">
        <v>5761</v>
      </c>
      <c r="Z36" s="418">
        <v>6155</v>
      </c>
      <c r="AA36" s="418">
        <v>5850</v>
      </c>
      <c r="AB36" s="418">
        <v>22789</v>
      </c>
      <c r="AC36" s="418"/>
      <c r="AD36" s="418">
        <v>5343</v>
      </c>
      <c r="AE36" s="418">
        <v>5848</v>
      </c>
      <c r="AF36" s="418">
        <v>6209</v>
      </c>
      <c r="AG36" s="418">
        <v>5850</v>
      </c>
      <c r="AH36" s="418">
        <v>23250</v>
      </c>
      <c r="AI36" s="418"/>
      <c r="AJ36" s="418">
        <v>5605</v>
      </c>
      <c r="AK36" s="418">
        <v>3860</v>
      </c>
      <c r="AL36" s="418">
        <v>4246</v>
      </c>
      <c r="AM36" s="418">
        <v>3163</v>
      </c>
      <c r="AN36" s="418">
        <v>16874</v>
      </c>
      <c r="AO36" s="418"/>
      <c r="AP36" s="418">
        <v>4145</v>
      </c>
      <c r="AQ36" s="418">
        <v>5242</v>
      </c>
      <c r="AR36" s="418">
        <v>5739</v>
      </c>
      <c r="AS36" s="418">
        <v>4466</v>
      </c>
      <c r="AT36" s="418">
        <v>19592</v>
      </c>
      <c r="AU36" s="445"/>
    </row>
    <row r="37" spans="1:47" s="1" customFormat="1" ht="15" customHeight="1" x14ac:dyDescent="0.2">
      <c r="A37" s="122" t="str">
        <f>IF(Contents!$A$1=2,"diesel fuel","дизельное топливо")</f>
        <v>дизельное топливо</v>
      </c>
      <c r="B37" s="280" t="str">
        <f>IF(Contents!$A$1=2,"th. t","тыс. т")</f>
        <v>тыс. т</v>
      </c>
      <c r="C37" s="141"/>
      <c r="D37" s="439">
        <v>8367</v>
      </c>
      <c r="E37" s="439"/>
      <c r="F37" s="439">
        <v>1942</v>
      </c>
      <c r="G37" s="439">
        <v>1961</v>
      </c>
      <c r="H37" s="439">
        <v>2463</v>
      </c>
      <c r="I37" s="439">
        <v>2390</v>
      </c>
      <c r="J37" s="439">
        <v>8756</v>
      </c>
      <c r="K37" s="439"/>
      <c r="L37" s="439">
        <v>2294</v>
      </c>
      <c r="M37" s="439">
        <v>2601</v>
      </c>
      <c r="N37" s="439">
        <v>2450</v>
      </c>
      <c r="O37" s="439">
        <v>2434</v>
      </c>
      <c r="P37" s="439">
        <v>9779</v>
      </c>
      <c r="Q37" s="439"/>
      <c r="R37" s="439">
        <v>2312</v>
      </c>
      <c r="S37" s="439">
        <v>2437</v>
      </c>
      <c r="T37" s="439">
        <v>2676</v>
      </c>
      <c r="U37" s="439">
        <v>2446</v>
      </c>
      <c r="V37" s="439">
        <v>9871</v>
      </c>
      <c r="W37" s="439"/>
      <c r="X37" s="439">
        <v>1994</v>
      </c>
      <c r="Y37" s="439">
        <v>2369</v>
      </c>
      <c r="Z37" s="439">
        <v>2678</v>
      </c>
      <c r="AA37" s="439">
        <v>2578</v>
      </c>
      <c r="AB37" s="439">
        <v>9619</v>
      </c>
      <c r="AC37" s="439"/>
      <c r="AD37" s="439">
        <v>2344</v>
      </c>
      <c r="AE37" s="439">
        <v>2724</v>
      </c>
      <c r="AF37" s="439">
        <v>2807</v>
      </c>
      <c r="AG37" s="439">
        <v>2695</v>
      </c>
      <c r="AH37" s="439">
        <v>10570</v>
      </c>
      <c r="AI37" s="439"/>
      <c r="AJ37" s="418">
        <v>2694</v>
      </c>
      <c r="AK37" s="418">
        <v>1895</v>
      </c>
      <c r="AL37" s="418">
        <v>2246</v>
      </c>
      <c r="AM37" s="418">
        <v>1499</v>
      </c>
      <c r="AN37" s="418">
        <v>8334</v>
      </c>
      <c r="AO37" s="418"/>
      <c r="AP37" s="418">
        <v>1917</v>
      </c>
      <c r="AQ37" s="418">
        <v>2526</v>
      </c>
      <c r="AR37" s="418">
        <v>2780</v>
      </c>
      <c r="AS37" s="418">
        <v>2015</v>
      </c>
      <c r="AT37" s="418">
        <v>9238</v>
      </c>
      <c r="AU37" s="445"/>
    </row>
    <row r="38" spans="1:47" s="1" customFormat="1" ht="15" customHeight="1" x14ac:dyDescent="0.2">
      <c r="A38" s="122" t="str">
        <f>IF(Contents!$A$1=2,"motor gasoline","автомобильный бензин")</f>
        <v>автомобильный бензин</v>
      </c>
      <c r="B38" s="280" t="str">
        <f>IF(Contents!$A$1=2,"th. t","тыс. т")</f>
        <v>тыс. т</v>
      </c>
      <c r="C38" s="141"/>
      <c r="D38" s="439">
        <v>4603</v>
      </c>
      <c r="E38" s="439"/>
      <c r="F38" s="439">
        <v>1105</v>
      </c>
      <c r="G38" s="439">
        <v>1109</v>
      </c>
      <c r="H38" s="439">
        <v>1343</v>
      </c>
      <c r="I38" s="439">
        <v>1250</v>
      </c>
      <c r="J38" s="439">
        <v>4807</v>
      </c>
      <c r="K38" s="439"/>
      <c r="L38" s="439">
        <v>1167</v>
      </c>
      <c r="M38" s="439">
        <v>1301</v>
      </c>
      <c r="N38" s="439">
        <v>1180</v>
      </c>
      <c r="O38" s="439">
        <v>1336</v>
      </c>
      <c r="P38" s="439">
        <v>4984</v>
      </c>
      <c r="Q38" s="439"/>
      <c r="R38" s="439">
        <v>1207</v>
      </c>
      <c r="S38" s="439">
        <v>1252</v>
      </c>
      <c r="T38" s="439">
        <v>1347</v>
      </c>
      <c r="U38" s="439">
        <v>1334</v>
      </c>
      <c r="V38" s="439">
        <v>5140</v>
      </c>
      <c r="W38" s="439"/>
      <c r="X38" s="439">
        <v>987</v>
      </c>
      <c r="Y38" s="439">
        <v>1066</v>
      </c>
      <c r="Z38" s="439">
        <v>1316</v>
      </c>
      <c r="AA38" s="439">
        <v>1176</v>
      </c>
      <c r="AB38" s="439">
        <v>4545</v>
      </c>
      <c r="AC38" s="439"/>
      <c r="AD38" s="439">
        <v>1116</v>
      </c>
      <c r="AE38" s="439">
        <v>1256</v>
      </c>
      <c r="AF38" s="439">
        <v>1384</v>
      </c>
      <c r="AG38" s="439">
        <v>1309</v>
      </c>
      <c r="AH38" s="439">
        <v>5065</v>
      </c>
      <c r="AI38" s="439"/>
      <c r="AJ38" s="418">
        <v>1151</v>
      </c>
      <c r="AK38" s="418">
        <v>955</v>
      </c>
      <c r="AL38" s="418">
        <v>1064</v>
      </c>
      <c r="AM38" s="418">
        <v>608</v>
      </c>
      <c r="AN38" s="418">
        <v>3778</v>
      </c>
      <c r="AO38" s="418"/>
      <c r="AP38" s="418">
        <v>646</v>
      </c>
      <c r="AQ38" s="418">
        <v>1141</v>
      </c>
      <c r="AR38" s="418">
        <v>1182</v>
      </c>
      <c r="AS38" s="418">
        <v>723</v>
      </c>
      <c r="AT38" s="418">
        <v>3692</v>
      </c>
      <c r="AU38" s="445"/>
    </row>
    <row r="39" spans="1:47" s="1" customFormat="1" ht="15" customHeight="1" x14ac:dyDescent="0.2">
      <c r="A39" s="122" t="str">
        <f>IF(Contents!$A$1=2,"fuel oil","топочный мазут")</f>
        <v>топочный мазут</v>
      </c>
      <c r="B39" s="280" t="str">
        <f>IF(Contents!$A$1=2,"th. t","тыс. т")</f>
        <v>тыс. т</v>
      </c>
      <c r="C39" s="141"/>
      <c r="D39" s="439">
        <v>2677</v>
      </c>
      <c r="E39" s="439"/>
      <c r="F39" s="439">
        <v>651</v>
      </c>
      <c r="G39" s="439">
        <v>821</v>
      </c>
      <c r="H39" s="439">
        <v>879</v>
      </c>
      <c r="I39" s="439">
        <v>920</v>
      </c>
      <c r="J39" s="439">
        <v>3271</v>
      </c>
      <c r="K39" s="439"/>
      <c r="L39" s="439">
        <v>861</v>
      </c>
      <c r="M39" s="439">
        <v>925</v>
      </c>
      <c r="N39" s="439">
        <v>726</v>
      </c>
      <c r="O39" s="439">
        <v>703</v>
      </c>
      <c r="P39" s="439">
        <v>3215</v>
      </c>
      <c r="Q39" s="439"/>
      <c r="R39" s="439">
        <v>748</v>
      </c>
      <c r="S39" s="439">
        <v>870</v>
      </c>
      <c r="T39" s="439">
        <v>560</v>
      </c>
      <c r="U39" s="439">
        <v>795</v>
      </c>
      <c r="V39" s="439">
        <v>2973</v>
      </c>
      <c r="W39" s="439"/>
      <c r="X39" s="439">
        <v>709</v>
      </c>
      <c r="Y39" s="439">
        <v>740</v>
      </c>
      <c r="Z39" s="439">
        <v>626</v>
      </c>
      <c r="AA39" s="439">
        <v>635</v>
      </c>
      <c r="AB39" s="439">
        <v>2710</v>
      </c>
      <c r="AC39" s="439"/>
      <c r="AD39" s="439">
        <v>446</v>
      </c>
      <c r="AE39" s="439">
        <v>738</v>
      </c>
      <c r="AF39" s="439">
        <v>464</v>
      </c>
      <c r="AG39" s="439">
        <v>473</v>
      </c>
      <c r="AH39" s="439">
        <v>2121</v>
      </c>
      <c r="AI39" s="439"/>
      <c r="AJ39" s="418">
        <v>339</v>
      </c>
      <c r="AK39" s="418">
        <v>145</v>
      </c>
      <c r="AL39" s="418">
        <v>99</v>
      </c>
      <c r="AM39" s="418">
        <v>171</v>
      </c>
      <c r="AN39" s="418">
        <v>754</v>
      </c>
      <c r="AO39" s="418"/>
      <c r="AP39" s="418">
        <v>105</v>
      </c>
      <c r="AQ39" s="418">
        <v>28</v>
      </c>
      <c r="AR39" s="418">
        <v>42</v>
      </c>
      <c r="AS39" s="418">
        <v>74</v>
      </c>
      <c r="AT39" s="418">
        <v>249</v>
      </c>
      <c r="AU39" s="445"/>
    </row>
    <row r="40" spans="1:47" s="1" customFormat="1" ht="15" customHeight="1" x14ac:dyDescent="0.2">
      <c r="A40" s="122" t="str">
        <f>IF(Contents!$A$1=2,"jet fuel ","реактивное топливо")</f>
        <v>реактивное топливо</v>
      </c>
      <c r="B40" s="280" t="str">
        <f>IF(Contents!$A$1=2,"th. t","тыс. т")</f>
        <v>тыс. т</v>
      </c>
      <c r="C40" s="141"/>
      <c r="D40" s="439">
        <v>704</v>
      </c>
      <c r="E40" s="439"/>
      <c r="F40" s="439">
        <v>188</v>
      </c>
      <c r="G40" s="439">
        <v>221</v>
      </c>
      <c r="H40" s="439">
        <v>242</v>
      </c>
      <c r="I40" s="439">
        <v>198</v>
      </c>
      <c r="J40" s="439">
        <v>849</v>
      </c>
      <c r="K40" s="439"/>
      <c r="L40" s="439">
        <v>184</v>
      </c>
      <c r="M40" s="439">
        <v>236</v>
      </c>
      <c r="N40" s="439">
        <v>266</v>
      </c>
      <c r="O40" s="439">
        <v>236</v>
      </c>
      <c r="P40" s="439">
        <v>922</v>
      </c>
      <c r="Q40" s="439"/>
      <c r="R40" s="439">
        <v>239</v>
      </c>
      <c r="S40" s="439">
        <v>256</v>
      </c>
      <c r="T40" s="439">
        <v>327</v>
      </c>
      <c r="U40" s="439">
        <v>227</v>
      </c>
      <c r="V40" s="439">
        <v>1049</v>
      </c>
      <c r="W40" s="439"/>
      <c r="X40" s="439">
        <v>297</v>
      </c>
      <c r="Y40" s="439">
        <v>317</v>
      </c>
      <c r="Z40" s="439">
        <v>317</v>
      </c>
      <c r="AA40" s="439">
        <v>260</v>
      </c>
      <c r="AB40" s="439">
        <v>1191</v>
      </c>
      <c r="AC40" s="439"/>
      <c r="AD40" s="439">
        <v>254</v>
      </c>
      <c r="AE40" s="439">
        <v>269</v>
      </c>
      <c r="AF40" s="439">
        <v>351</v>
      </c>
      <c r="AG40" s="439">
        <v>275</v>
      </c>
      <c r="AH40" s="439">
        <v>1149</v>
      </c>
      <c r="AI40" s="439"/>
      <c r="AJ40" s="418">
        <v>243</v>
      </c>
      <c r="AK40" s="418">
        <v>83</v>
      </c>
      <c r="AL40" s="418">
        <v>86</v>
      </c>
      <c r="AM40" s="418">
        <v>127</v>
      </c>
      <c r="AN40" s="418">
        <v>539</v>
      </c>
      <c r="AO40" s="418"/>
      <c r="AP40" s="418">
        <v>117</v>
      </c>
      <c r="AQ40" s="418">
        <v>109</v>
      </c>
      <c r="AR40" s="418">
        <v>174</v>
      </c>
      <c r="AS40" s="418">
        <v>159</v>
      </c>
      <c r="AT40" s="418">
        <v>559</v>
      </c>
      <c r="AU40" s="445"/>
    </row>
    <row r="41" spans="1:47" s="206" customFormat="1" ht="15" customHeight="1" x14ac:dyDescent="0.2">
      <c r="A41" s="353" t="str">
        <f>IF(Contents!$A$1=2,"straight-run gasoline","прямогонный бензин")</f>
        <v>прямогонный бензин</v>
      </c>
      <c r="B41" s="280" t="str">
        <f>IF(Contents!$A$1=2,"th. t","тыс. т")</f>
        <v>тыс. т</v>
      </c>
      <c r="C41" s="141"/>
      <c r="D41" s="439">
        <v>0</v>
      </c>
      <c r="E41" s="438"/>
      <c r="F41" s="439">
        <v>0</v>
      </c>
      <c r="G41" s="438">
        <v>0</v>
      </c>
      <c r="H41" s="438">
        <v>0</v>
      </c>
      <c r="I41" s="439">
        <v>0</v>
      </c>
      <c r="J41" s="439">
        <v>0</v>
      </c>
      <c r="K41" s="438"/>
      <c r="L41" s="439">
        <v>0</v>
      </c>
      <c r="M41" s="438">
        <v>0</v>
      </c>
      <c r="N41" s="438">
        <v>0</v>
      </c>
      <c r="O41" s="438">
        <v>0</v>
      </c>
      <c r="P41" s="438">
        <v>0</v>
      </c>
      <c r="Q41" s="438"/>
      <c r="R41" s="439">
        <v>0</v>
      </c>
      <c r="S41" s="439">
        <v>0</v>
      </c>
      <c r="T41" s="439">
        <v>0</v>
      </c>
      <c r="U41" s="439">
        <v>0</v>
      </c>
      <c r="V41" s="439">
        <v>0</v>
      </c>
      <c r="W41" s="439"/>
      <c r="X41" s="439">
        <v>459</v>
      </c>
      <c r="Y41" s="439">
        <v>532</v>
      </c>
      <c r="Z41" s="439">
        <v>592</v>
      </c>
      <c r="AA41" s="439">
        <v>490</v>
      </c>
      <c r="AB41" s="439">
        <v>2073</v>
      </c>
      <c r="AC41" s="439"/>
      <c r="AD41" s="439">
        <v>538</v>
      </c>
      <c r="AE41" s="439">
        <v>485</v>
      </c>
      <c r="AF41" s="439">
        <v>663</v>
      </c>
      <c r="AG41" s="439">
        <v>599</v>
      </c>
      <c r="AH41" s="439">
        <v>2285</v>
      </c>
      <c r="AI41" s="439"/>
      <c r="AJ41" s="439">
        <v>561</v>
      </c>
      <c r="AK41" s="439">
        <v>322</v>
      </c>
      <c r="AL41" s="439">
        <v>284</v>
      </c>
      <c r="AM41" s="439">
        <v>449</v>
      </c>
      <c r="AN41" s="439">
        <v>1616</v>
      </c>
      <c r="AO41" s="439"/>
      <c r="AP41" s="439">
        <v>648</v>
      </c>
      <c r="AQ41" s="439">
        <v>464</v>
      </c>
      <c r="AR41" s="439">
        <v>568</v>
      </c>
      <c r="AS41" s="439">
        <v>566</v>
      </c>
      <c r="AT41" s="439">
        <v>2246</v>
      </c>
      <c r="AU41" s="445"/>
    </row>
    <row r="42" spans="1:47" s="206" customFormat="1" ht="15" customHeight="1" x14ac:dyDescent="0.2">
      <c r="A42" s="353" t="str">
        <f>IF(Contents!$A$1=2,"coke","кокс")</f>
        <v>кокс</v>
      </c>
      <c r="B42" s="280" t="str">
        <f>IF(Contents!$A$1=2,"th. t","тыс. т")</f>
        <v>тыс. т</v>
      </c>
      <c r="C42" s="141"/>
      <c r="D42" s="439">
        <v>0</v>
      </c>
      <c r="E42" s="438"/>
      <c r="F42" s="439">
        <v>0</v>
      </c>
      <c r="G42" s="438">
        <v>0</v>
      </c>
      <c r="H42" s="438">
        <v>0</v>
      </c>
      <c r="I42" s="439">
        <v>0</v>
      </c>
      <c r="J42" s="439">
        <v>0</v>
      </c>
      <c r="K42" s="438"/>
      <c r="L42" s="439">
        <v>0</v>
      </c>
      <c r="M42" s="438">
        <v>0</v>
      </c>
      <c r="N42" s="438">
        <v>0</v>
      </c>
      <c r="O42" s="438">
        <v>0</v>
      </c>
      <c r="P42" s="438">
        <v>0</v>
      </c>
      <c r="Q42" s="438"/>
      <c r="R42" s="439">
        <v>0</v>
      </c>
      <c r="S42" s="439">
        <v>0</v>
      </c>
      <c r="T42" s="439">
        <v>0</v>
      </c>
      <c r="U42" s="439">
        <v>0</v>
      </c>
      <c r="V42" s="439">
        <v>0</v>
      </c>
      <c r="W42" s="439"/>
      <c r="X42" s="439">
        <v>53</v>
      </c>
      <c r="Y42" s="439">
        <v>51</v>
      </c>
      <c r="Z42" s="439">
        <v>49</v>
      </c>
      <c r="AA42" s="439">
        <v>53</v>
      </c>
      <c r="AB42" s="439">
        <v>206</v>
      </c>
      <c r="AC42" s="439"/>
      <c r="AD42" s="439">
        <v>32</v>
      </c>
      <c r="AE42" s="439">
        <v>27</v>
      </c>
      <c r="AF42" s="439">
        <v>25</v>
      </c>
      <c r="AG42" s="439">
        <v>23</v>
      </c>
      <c r="AH42" s="439">
        <v>107</v>
      </c>
      <c r="AI42" s="439"/>
      <c r="AJ42" s="439">
        <v>19</v>
      </c>
      <c r="AK42" s="439">
        <v>17</v>
      </c>
      <c r="AL42" s="439">
        <v>16</v>
      </c>
      <c r="AM42" s="439">
        <v>24</v>
      </c>
      <c r="AN42" s="439">
        <v>76</v>
      </c>
      <c r="AO42" s="439"/>
      <c r="AP42" s="439">
        <v>23</v>
      </c>
      <c r="AQ42" s="439">
        <v>32</v>
      </c>
      <c r="AR42" s="439">
        <v>28</v>
      </c>
      <c r="AS42" s="439">
        <v>13</v>
      </c>
      <c r="AT42" s="439">
        <v>96</v>
      </c>
      <c r="AU42" s="445"/>
    </row>
    <row r="43" spans="1:47" s="206" customFormat="1" ht="15" customHeight="1" x14ac:dyDescent="0.2">
      <c r="A43" s="353" t="str">
        <f>IF(Contents!$A$1=2,"bunker fuel","судовое топливо")</f>
        <v>судовое топливо</v>
      </c>
      <c r="B43" s="280" t="str">
        <f>IF(Contents!$A$1=2,"th. t","тыс. т")</f>
        <v>тыс. т</v>
      </c>
      <c r="C43" s="141"/>
      <c r="D43" s="439">
        <v>0</v>
      </c>
      <c r="E43" s="438"/>
      <c r="F43" s="439">
        <v>0</v>
      </c>
      <c r="G43" s="438">
        <v>0</v>
      </c>
      <c r="H43" s="438">
        <v>0</v>
      </c>
      <c r="I43" s="439">
        <v>0</v>
      </c>
      <c r="J43" s="439">
        <v>0</v>
      </c>
      <c r="K43" s="438"/>
      <c r="L43" s="439">
        <v>0</v>
      </c>
      <c r="M43" s="438">
        <v>0</v>
      </c>
      <c r="N43" s="438">
        <v>0</v>
      </c>
      <c r="O43" s="438">
        <v>0</v>
      </c>
      <c r="P43" s="438">
        <v>0</v>
      </c>
      <c r="Q43" s="438"/>
      <c r="R43" s="439">
        <v>0</v>
      </c>
      <c r="S43" s="439">
        <v>0</v>
      </c>
      <c r="T43" s="439">
        <v>0</v>
      </c>
      <c r="U43" s="439">
        <v>0</v>
      </c>
      <c r="V43" s="439">
        <v>0</v>
      </c>
      <c r="W43" s="439"/>
      <c r="X43" s="439">
        <v>0</v>
      </c>
      <c r="Y43" s="439">
        <v>0</v>
      </c>
      <c r="Z43" s="439">
        <v>0</v>
      </c>
      <c r="AA43" s="439">
        <v>0</v>
      </c>
      <c r="AB43" s="439">
        <v>0</v>
      </c>
      <c r="AC43" s="439"/>
      <c r="AD43" s="439">
        <v>0</v>
      </c>
      <c r="AE43" s="439">
        <v>0</v>
      </c>
      <c r="AF43" s="439">
        <v>0</v>
      </c>
      <c r="AG43" s="439">
        <v>0</v>
      </c>
      <c r="AH43" s="439">
        <v>99</v>
      </c>
      <c r="AI43" s="439"/>
      <c r="AJ43" s="439">
        <v>154</v>
      </c>
      <c r="AK43" s="439">
        <v>65</v>
      </c>
      <c r="AL43" s="439">
        <v>103</v>
      </c>
      <c r="AM43" s="439">
        <v>116</v>
      </c>
      <c r="AN43" s="439">
        <v>438</v>
      </c>
      <c r="AO43" s="439"/>
      <c r="AP43" s="439">
        <v>442</v>
      </c>
      <c r="AQ43" s="439">
        <v>619</v>
      </c>
      <c r="AR43" s="439">
        <v>619</v>
      </c>
      <c r="AS43" s="439">
        <v>670</v>
      </c>
      <c r="AT43" s="439">
        <v>2350</v>
      </c>
      <c r="AU43" s="445"/>
    </row>
    <row r="44" spans="1:47" s="206" customFormat="1" ht="15" customHeight="1" x14ac:dyDescent="0.2">
      <c r="A44" s="353" t="str">
        <f>IF(Contents!$A$1=2,"gas products","газопереработка")</f>
        <v>газопереработка</v>
      </c>
      <c r="B44" s="280" t="str">
        <f>IF(Contents!$A$1=2,"th. t","тыс. т")</f>
        <v>тыс. т</v>
      </c>
      <c r="C44" s="141"/>
      <c r="D44" s="439">
        <v>0</v>
      </c>
      <c r="E44" s="438"/>
      <c r="F44" s="439">
        <v>0</v>
      </c>
      <c r="G44" s="438">
        <v>0</v>
      </c>
      <c r="H44" s="438">
        <v>0</v>
      </c>
      <c r="I44" s="439">
        <v>0</v>
      </c>
      <c r="J44" s="439">
        <v>0</v>
      </c>
      <c r="K44" s="438"/>
      <c r="L44" s="439">
        <v>0</v>
      </c>
      <c r="M44" s="438">
        <v>0</v>
      </c>
      <c r="N44" s="438">
        <v>0</v>
      </c>
      <c r="O44" s="438">
        <v>0</v>
      </c>
      <c r="P44" s="438">
        <v>0</v>
      </c>
      <c r="Q44" s="438"/>
      <c r="R44" s="439">
        <v>0</v>
      </c>
      <c r="S44" s="439">
        <v>0</v>
      </c>
      <c r="T44" s="439">
        <v>0</v>
      </c>
      <c r="U44" s="439">
        <v>0</v>
      </c>
      <c r="V44" s="439">
        <v>0</v>
      </c>
      <c r="W44" s="439"/>
      <c r="X44" s="439">
        <v>114</v>
      </c>
      <c r="Y44" s="439">
        <v>140</v>
      </c>
      <c r="Z44" s="439">
        <v>125</v>
      </c>
      <c r="AA44" s="439">
        <v>119</v>
      </c>
      <c r="AB44" s="439">
        <v>498</v>
      </c>
      <c r="AC44" s="439"/>
      <c r="AD44" s="439">
        <v>99</v>
      </c>
      <c r="AE44" s="439">
        <v>181</v>
      </c>
      <c r="AF44" s="439">
        <v>164</v>
      </c>
      <c r="AG44" s="439">
        <v>144</v>
      </c>
      <c r="AH44" s="439">
        <v>588</v>
      </c>
      <c r="AI44" s="439"/>
      <c r="AJ44" s="439">
        <v>141</v>
      </c>
      <c r="AK44" s="439">
        <v>111</v>
      </c>
      <c r="AL44" s="439">
        <v>122</v>
      </c>
      <c r="AM44" s="439">
        <v>88</v>
      </c>
      <c r="AN44" s="439">
        <v>462</v>
      </c>
      <c r="AO44" s="439"/>
      <c r="AP44" s="439">
        <v>105</v>
      </c>
      <c r="AQ44" s="439">
        <v>133</v>
      </c>
      <c r="AR44" s="439">
        <v>147</v>
      </c>
      <c r="AS44" s="439">
        <v>78</v>
      </c>
      <c r="AT44" s="439">
        <v>463</v>
      </c>
      <c r="AU44" s="445"/>
    </row>
    <row r="45" spans="1:47" s="206" customFormat="1" ht="15" customHeight="1" x14ac:dyDescent="0.2">
      <c r="A45" s="353" t="str">
        <f>IF(Contents!$A$1=2,"petrochemicals","нефтехимия")</f>
        <v>нефтехимия</v>
      </c>
      <c r="B45" s="280" t="str">
        <f>IF(Contents!$A$1=2,"th. t","тыс. т")</f>
        <v>тыс. т</v>
      </c>
      <c r="C45" s="141"/>
      <c r="D45" s="439">
        <v>0</v>
      </c>
      <c r="E45" s="438"/>
      <c r="F45" s="439">
        <v>0</v>
      </c>
      <c r="G45" s="438">
        <v>0</v>
      </c>
      <c r="H45" s="438">
        <v>0</v>
      </c>
      <c r="I45" s="439">
        <v>0</v>
      </c>
      <c r="J45" s="439">
        <v>0</v>
      </c>
      <c r="K45" s="438"/>
      <c r="L45" s="439">
        <v>0</v>
      </c>
      <c r="M45" s="438">
        <v>0</v>
      </c>
      <c r="N45" s="438">
        <v>0</v>
      </c>
      <c r="O45" s="438">
        <v>0</v>
      </c>
      <c r="P45" s="438">
        <v>0</v>
      </c>
      <c r="Q45" s="438"/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/>
      <c r="X45" s="439">
        <v>13</v>
      </c>
      <c r="Y45" s="439">
        <v>12</v>
      </c>
      <c r="Z45" s="439">
        <v>13</v>
      </c>
      <c r="AA45" s="439">
        <v>13</v>
      </c>
      <c r="AB45" s="439">
        <v>51</v>
      </c>
      <c r="AC45" s="439"/>
      <c r="AD45" s="439">
        <v>9</v>
      </c>
      <c r="AE45" s="439">
        <v>11</v>
      </c>
      <c r="AF45" s="439">
        <v>14</v>
      </c>
      <c r="AG45" s="439">
        <v>9</v>
      </c>
      <c r="AH45" s="439">
        <v>43</v>
      </c>
      <c r="AI45" s="439"/>
      <c r="AJ45" s="439">
        <v>12</v>
      </c>
      <c r="AK45" s="439">
        <v>11</v>
      </c>
      <c r="AL45" s="439">
        <v>11</v>
      </c>
      <c r="AM45" s="439">
        <v>11</v>
      </c>
      <c r="AN45" s="439">
        <v>45</v>
      </c>
      <c r="AO45" s="439"/>
      <c r="AP45" s="439">
        <v>11</v>
      </c>
      <c r="AQ45" s="439">
        <v>10</v>
      </c>
      <c r="AR45" s="439">
        <v>12</v>
      </c>
      <c r="AS45" s="439">
        <v>6</v>
      </c>
      <c r="AT45" s="439">
        <v>39</v>
      </c>
      <c r="AU45" s="445"/>
    </row>
    <row r="46" spans="1:47" s="1" customFormat="1" ht="15" customHeight="1" x14ac:dyDescent="0.2">
      <c r="A46" s="122" t="str">
        <f>IF(Contents!$A$1=2,"other products","прочие")</f>
        <v>прочие</v>
      </c>
      <c r="B46" s="280" t="str">
        <f>IF(Contents!$A$1=2,"th. t","тыс. т")</f>
        <v>тыс. т</v>
      </c>
      <c r="C46" s="141"/>
      <c r="D46" s="439">
        <v>4094</v>
      </c>
      <c r="E46" s="439"/>
      <c r="F46" s="439">
        <v>758</v>
      </c>
      <c r="G46" s="439">
        <v>843</v>
      </c>
      <c r="H46" s="439">
        <v>983</v>
      </c>
      <c r="I46" s="439">
        <v>941</v>
      </c>
      <c r="J46" s="439">
        <v>3525</v>
      </c>
      <c r="K46" s="439"/>
      <c r="L46" s="439">
        <v>908</v>
      </c>
      <c r="M46" s="439">
        <v>1032</v>
      </c>
      <c r="N46" s="439">
        <v>1073</v>
      </c>
      <c r="O46" s="439">
        <v>807</v>
      </c>
      <c r="P46" s="439">
        <v>3820</v>
      </c>
      <c r="Q46" s="439"/>
      <c r="R46" s="439">
        <v>821</v>
      </c>
      <c r="S46" s="439">
        <v>807</v>
      </c>
      <c r="T46" s="439">
        <v>1074</v>
      </c>
      <c r="U46" s="439">
        <v>1010</v>
      </c>
      <c r="V46" s="439">
        <v>3712</v>
      </c>
      <c r="W46" s="439"/>
      <c r="X46" s="439">
        <v>397</v>
      </c>
      <c r="Y46" s="439">
        <v>534</v>
      </c>
      <c r="Z46" s="439">
        <v>439</v>
      </c>
      <c r="AA46" s="439">
        <v>526</v>
      </c>
      <c r="AB46" s="439">
        <v>1896</v>
      </c>
      <c r="AC46" s="439"/>
      <c r="AD46" s="439">
        <v>505</v>
      </c>
      <c r="AE46" s="439">
        <v>157</v>
      </c>
      <c r="AF46" s="439">
        <v>337</v>
      </c>
      <c r="AG46" s="439">
        <v>323</v>
      </c>
      <c r="AH46" s="439">
        <v>1223</v>
      </c>
      <c r="AI46" s="439"/>
      <c r="AJ46" s="439">
        <v>291</v>
      </c>
      <c r="AK46" s="439">
        <v>256</v>
      </c>
      <c r="AL46" s="439">
        <v>215</v>
      </c>
      <c r="AM46" s="439">
        <v>70</v>
      </c>
      <c r="AN46" s="439">
        <v>832</v>
      </c>
      <c r="AO46" s="439"/>
      <c r="AP46" s="439">
        <v>131</v>
      </c>
      <c r="AQ46" s="439">
        <v>180</v>
      </c>
      <c r="AR46" s="439">
        <v>187</v>
      </c>
      <c r="AS46" s="439">
        <v>162</v>
      </c>
      <c r="AT46" s="439">
        <v>660</v>
      </c>
      <c r="AU46" s="445"/>
    </row>
    <row r="47" spans="1:47" s="1" customFormat="1" ht="15" customHeight="1" x14ac:dyDescent="0.2">
      <c r="A47" s="241" t="str">
        <f>IF(Contents!$A$1=2,"Refined products produced at third party refineries","Производство нефтепродуктов на сторонних НПЗ")</f>
        <v>Производство нефтепродуктов на сторонних НПЗ</v>
      </c>
      <c r="B47" s="307" t="str">
        <f>IF(Contents!$A$1=2,"th. t","тыс. т")</f>
        <v>тыс. т</v>
      </c>
      <c r="C47" s="148"/>
      <c r="D47" s="448">
        <v>1687</v>
      </c>
      <c r="E47" s="515"/>
      <c r="F47" s="448">
        <v>200</v>
      </c>
      <c r="G47" s="448">
        <v>206</v>
      </c>
      <c r="H47" s="448">
        <v>277</v>
      </c>
      <c r="I47" s="448">
        <v>167</v>
      </c>
      <c r="J47" s="448">
        <v>850</v>
      </c>
      <c r="K47" s="515"/>
      <c r="L47" s="448">
        <v>88</v>
      </c>
      <c r="M47" s="448">
        <v>71</v>
      </c>
      <c r="N47" s="448">
        <v>76</v>
      </c>
      <c r="O47" s="448">
        <v>491</v>
      </c>
      <c r="P47" s="448">
        <v>726</v>
      </c>
      <c r="Q47" s="434"/>
      <c r="R47" s="448">
        <v>1378</v>
      </c>
      <c r="S47" s="448">
        <v>1653</v>
      </c>
      <c r="T47" s="448">
        <v>1627</v>
      </c>
      <c r="U47" s="448">
        <v>1759</v>
      </c>
      <c r="V47" s="448">
        <v>6417</v>
      </c>
      <c r="W47" s="434"/>
      <c r="X47" s="448">
        <v>1643</v>
      </c>
      <c r="Y47" s="448">
        <v>1597</v>
      </c>
      <c r="Z47" s="448">
        <v>1581</v>
      </c>
      <c r="AA47" s="448">
        <v>1593</v>
      </c>
      <c r="AB47" s="448">
        <v>6414</v>
      </c>
      <c r="AC47" s="434"/>
      <c r="AD47" s="448">
        <v>1504</v>
      </c>
      <c r="AE47" s="448">
        <v>1553</v>
      </c>
      <c r="AF47" s="448">
        <v>1641</v>
      </c>
      <c r="AG47" s="448">
        <v>40</v>
      </c>
      <c r="AH47" s="448">
        <v>4215</v>
      </c>
      <c r="AI47" s="434"/>
      <c r="AJ47" s="448">
        <v>50</v>
      </c>
      <c r="AK47" s="448">
        <v>26</v>
      </c>
      <c r="AL47" s="448">
        <v>37</v>
      </c>
      <c r="AM47" s="448">
        <v>26</v>
      </c>
      <c r="AN47" s="448">
        <v>139</v>
      </c>
      <c r="AO47" s="434"/>
      <c r="AP47" s="448">
        <v>0</v>
      </c>
      <c r="AQ47" s="448">
        <v>4</v>
      </c>
      <c r="AR47" s="448">
        <v>2</v>
      </c>
      <c r="AS47" s="448">
        <v>3</v>
      </c>
      <c r="AT47" s="448">
        <v>9</v>
      </c>
      <c r="AU47" s="445"/>
    </row>
    <row r="48" spans="1:47" s="206" customFormat="1" ht="15" customHeight="1" x14ac:dyDescent="0.2">
      <c r="A48" s="371"/>
      <c r="B48" s="364"/>
      <c r="C48" s="148"/>
      <c r="D48" s="449"/>
      <c r="E48" s="515"/>
      <c r="F48" s="449"/>
      <c r="G48" s="449"/>
      <c r="H48" s="449"/>
      <c r="I48" s="449"/>
      <c r="J48" s="449"/>
      <c r="K48" s="515"/>
      <c r="L48" s="449"/>
      <c r="M48" s="449"/>
      <c r="N48" s="449"/>
      <c r="O48" s="449"/>
      <c r="P48" s="449"/>
      <c r="Q48" s="434"/>
      <c r="R48" s="449"/>
      <c r="S48" s="449"/>
      <c r="T48" s="449"/>
      <c r="U48" s="449"/>
      <c r="V48" s="449"/>
      <c r="W48" s="434"/>
      <c r="X48" s="449"/>
      <c r="Y48" s="449"/>
      <c r="Z48" s="449"/>
      <c r="AA48" s="449"/>
      <c r="AB48" s="449"/>
      <c r="AC48" s="434"/>
      <c r="AD48" s="449"/>
      <c r="AE48" s="449"/>
      <c r="AF48" s="449"/>
      <c r="AG48" s="449"/>
      <c r="AH48" s="449"/>
      <c r="AI48" s="434"/>
      <c r="AJ48" s="449"/>
      <c r="AK48" s="449"/>
      <c r="AL48" s="449"/>
      <c r="AM48" s="449"/>
      <c r="AN48" s="449"/>
      <c r="AO48" s="434"/>
      <c r="AP48" s="449"/>
      <c r="AQ48" s="449"/>
      <c r="AR48" s="449"/>
      <c r="AS48" s="449"/>
      <c r="AT48" s="449"/>
      <c r="AU48" s="445"/>
    </row>
    <row r="49" spans="1:47" s="34" customFormat="1" ht="15" customHeight="1" x14ac:dyDescent="0.2">
      <c r="A49" s="372" t="str">
        <f>IF(Contents!$A$1=2,"Reference: Net of cross-supplies of refined products between the Group refineries","Справочно: объём кросс-поставок нефтепродуктов между НПЗ Группы")</f>
        <v>Справочно: объём кросс-поставок нефтепродуктов между НПЗ Группы</v>
      </c>
      <c r="B49" s="280" t="str">
        <f>IF(Contents!$A$1=2,"th. t","тыс. т")</f>
        <v>тыс. т</v>
      </c>
      <c r="C49" s="5"/>
      <c r="D49" s="519"/>
      <c r="E49" s="520"/>
      <c r="F49" s="520"/>
      <c r="G49" s="520"/>
      <c r="H49" s="520"/>
      <c r="I49" s="520"/>
      <c r="J49" s="519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439"/>
      <c r="W49" s="520"/>
      <c r="X49" s="439">
        <v>471</v>
      </c>
      <c r="Y49" s="439">
        <v>485</v>
      </c>
      <c r="Z49" s="439">
        <v>311</v>
      </c>
      <c r="AA49" s="439">
        <v>322</v>
      </c>
      <c r="AB49" s="439">
        <v>1589</v>
      </c>
      <c r="AC49" s="520"/>
      <c r="AD49" s="439">
        <v>343</v>
      </c>
      <c r="AE49" s="439">
        <v>355</v>
      </c>
      <c r="AF49" s="439">
        <v>380</v>
      </c>
      <c r="AG49" s="439">
        <v>483</v>
      </c>
      <c r="AH49" s="439">
        <v>1561</v>
      </c>
      <c r="AI49" s="520"/>
      <c r="AJ49" s="439">
        <v>488</v>
      </c>
      <c r="AK49" s="439">
        <v>296</v>
      </c>
      <c r="AL49" s="439">
        <v>455</v>
      </c>
      <c r="AM49" s="439">
        <v>158</v>
      </c>
      <c r="AN49" s="439">
        <v>1397</v>
      </c>
      <c r="AO49" s="439"/>
      <c r="AP49" s="439">
        <v>337</v>
      </c>
      <c r="AQ49" s="439">
        <v>408</v>
      </c>
      <c r="AR49" s="439">
        <v>456</v>
      </c>
      <c r="AS49" s="439">
        <v>559</v>
      </c>
      <c r="AT49" s="439">
        <v>1760</v>
      </c>
      <c r="AU49" s="445"/>
    </row>
    <row r="50" spans="1:47" s="34" customFormat="1" ht="15" customHeight="1" x14ac:dyDescent="0.2">
      <c r="A50" s="5"/>
      <c r="B50" s="205"/>
      <c r="C50" s="5"/>
      <c r="D50" s="205"/>
      <c r="E50" s="199"/>
      <c r="F50" s="199"/>
      <c r="G50" s="199"/>
      <c r="H50" s="199"/>
      <c r="I50" s="199"/>
      <c r="J50" s="205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80"/>
      <c r="AU50" s="445"/>
    </row>
    <row r="51" spans="1:47" s="34" customFormat="1" ht="15" customHeight="1" x14ac:dyDescent="0.2">
      <c r="A51" s="39" t="str">
        <f>IF(Contents!$A$1=2,"Products produced at petrochemical plants and facilities","Производство продукции нефтехимии на заводах и мощностях Группы")</f>
        <v>Производство продукции нефтехимии на заводах и мощностях Группы</v>
      </c>
      <c r="B51" s="205"/>
      <c r="C51" s="5"/>
      <c r="D51" s="205"/>
      <c r="E51" s="199"/>
      <c r="F51" s="199"/>
      <c r="G51" s="199"/>
      <c r="H51" s="199"/>
      <c r="I51" s="199"/>
      <c r="J51" s="205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80"/>
      <c r="AU51" s="445"/>
    </row>
    <row r="52" spans="1:47" s="34" customFormat="1" ht="15" customHeight="1" x14ac:dyDescent="0.2">
      <c r="A52" s="5"/>
      <c r="B52" s="205"/>
      <c r="C52" s="5"/>
      <c r="D52" s="205"/>
      <c r="E52" s="199"/>
      <c r="F52" s="199"/>
      <c r="G52" s="199"/>
      <c r="H52" s="199"/>
      <c r="I52" s="199"/>
      <c r="J52" s="205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80"/>
      <c r="AU52" s="445"/>
    </row>
    <row r="53" spans="1:47" s="16" customFormat="1" ht="15" customHeight="1" x14ac:dyDescent="0.2">
      <c r="A53" s="75"/>
      <c r="B53" s="306"/>
      <c r="D53" s="329">
        <v>2014</v>
      </c>
      <c r="E53" s="152"/>
      <c r="F53" s="325" t="str">
        <f>IF(Contents!$A$1=2,"1Q","1 кв")</f>
        <v>1 кв</v>
      </c>
      <c r="G53" s="325" t="str">
        <f>IF(Contents!$A$1=2,"2Q","2 кв")</f>
        <v>2 кв</v>
      </c>
      <c r="H53" s="325" t="str">
        <f>IF(Contents!$A$1=2,"3Q","3 кв")</f>
        <v>3 кв</v>
      </c>
      <c r="I53" s="325" t="str">
        <f>IF(Contents!$A$1=2,"4Q","4 кв")</f>
        <v>4 кв</v>
      </c>
      <c r="J53" s="329">
        <v>2015</v>
      </c>
      <c r="K53" s="152"/>
      <c r="L53" s="325" t="str">
        <f>IF(Contents!$A$1=2,"1Q","1 кв")</f>
        <v>1 кв</v>
      </c>
      <c r="M53" s="325" t="str">
        <f>IF(Contents!$A$1=2,"2Q","2 кв")</f>
        <v>2 кв</v>
      </c>
      <c r="N53" s="325" t="str">
        <f>IF(Contents!$A$1=2,"3Q","3 кв")</f>
        <v>3 кв</v>
      </c>
      <c r="O53" s="325" t="str">
        <f>IF(Contents!$A$1=2,"4Q","4 кв")</f>
        <v>4 кв</v>
      </c>
      <c r="P53" s="329">
        <v>2016</v>
      </c>
      <c r="Q53" s="330"/>
      <c r="R53" s="325" t="str">
        <f>IF(Contents!$A$1=2,"1Q","1 кв")</f>
        <v>1 кв</v>
      </c>
      <c r="S53" s="325" t="str">
        <f>IF(Contents!$A$1=2,"2Q","2 кв")</f>
        <v>2 кв</v>
      </c>
      <c r="T53" s="325" t="str">
        <f>IF(Contents!$A$1=2,"3Q","3 кв")</f>
        <v>3 кв</v>
      </c>
      <c r="U53" s="325" t="str">
        <f>IF(Contents!$A$1=2,"4Q","4 кв")</f>
        <v>4 кв</v>
      </c>
      <c r="V53" s="326">
        <v>2017</v>
      </c>
      <c r="W53" s="328"/>
      <c r="X53" s="325" t="str">
        <f>IF(Contents!$A$1=2,"1Q","1 кв")</f>
        <v>1 кв</v>
      </c>
      <c r="Y53" s="325" t="str">
        <f>IF(Contents!$A$1=2,"2Q","2 кв")</f>
        <v>2 кв</v>
      </c>
      <c r="Z53" s="325" t="str">
        <f>IF(Contents!$A$1=2,"3Q","3 кв")</f>
        <v>3 кв</v>
      </c>
      <c r="AA53" s="325" t="str">
        <f>IF(Contents!$A$1=2,"4Q","4 кв")</f>
        <v>4 кв</v>
      </c>
      <c r="AB53" s="326">
        <v>2018</v>
      </c>
      <c r="AC53" s="328"/>
      <c r="AD53" s="325" t="str">
        <f>IF(Contents!$A$1=2,"1Q","1 кв")</f>
        <v>1 кв</v>
      </c>
      <c r="AE53" s="325" t="str">
        <f>IF(Contents!$A$1=2,"2Q","2 кв")</f>
        <v>2 кв</v>
      </c>
      <c r="AF53" s="325" t="str">
        <f>IF(Contents!$A$1=2,"3Q","3 кв")</f>
        <v>3 кв</v>
      </c>
      <c r="AG53" s="325" t="str">
        <f>IF(Contents!$A$1=2,"4Q","4 кв")</f>
        <v>4 кв</v>
      </c>
      <c r="AH53" s="326">
        <v>2019</v>
      </c>
      <c r="AI53" s="328"/>
      <c r="AJ53" s="325" t="str">
        <f>IF(Contents!$A$1=2,"1Q","1 кв")</f>
        <v>1 кв</v>
      </c>
      <c r="AK53" s="325" t="str">
        <f>IF(Contents!$A$1=2,"2Q","2 кв")</f>
        <v>2 кв</v>
      </c>
      <c r="AL53" s="325" t="str">
        <f>IF(Contents!$A$1=2,"3Q","3 кв")</f>
        <v>3 кв</v>
      </c>
      <c r="AM53" s="325" t="str">
        <f>IF(Contents!$A$1=2,"4Q","4 кв")</f>
        <v>4 кв</v>
      </c>
      <c r="AN53" s="326">
        <v>2020</v>
      </c>
      <c r="AO53" s="328"/>
      <c r="AP53" s="325" t="str">
        <f>IF(Contents!$A$1=2,"1Q","1 кв")</f>
        <v>1 кв</v>
      </c>
      <c r="AQ53" s="325" t="str">
        <f>IF(Contents!$A$1=2,"2Q","2 кв")</f>
        <v>2 кв</v>
      </c>
      <c r="AR53" s="325" t="str">
        <f>IF(Contents!$A$1=2,"3Q","3 кв")</f>
        <v>3 кв</v>
      </c>
      <c r="AS53" s="325" t="str">
        <f>IF(Contents!$A$1=2,"4Q","4 кв")</f>
        <v>4 кв</v>
      </c>
      <c r="AT53" s="326">
        <v>2021</v>
      </c>
      <c r="AU53" s="445"/>
    </row>
    <row r="54" spans="1:47" s="16" customFormat="1" ht="15" customHeight="1" x14ac:dyDescent="0.2">
      <c r="A54" s="140" t="str">
        <f>IF(Contents!$A$1=2,"Products produced at petrochemical plants and facilities","Производство продукции нефтехимии на заводах и мощностях Группы")</f>
        <v>Производство продукции нефтехимии на заводах и мощностях Группы</v>
      </c>
      <c r="B54" s="308" t="str">
        <f>IF(Contents!$A$1=2,"th. t","тыс. т")</f>
        <v>тыс. т</v>
      </c>
      <c r="C54" s="140"/>
      <c r="D54" s="426">
        <v>668</v>
      </c>
      <c r="E54" s="426"/>
      <c r="F54" s="426">
        <v>169</v>
      </c>
      <c r="G54" s="426">
        <v>264</v>
      </c>
      <c r="H54" s="426">
        <v>314</v>
      </c>
      <c r="I54" s="426">
        <v>326</v>
      </c>
      <c r="J54" s="426">
        <v>1073</v>
      </c>
      <c r="K54" s="426"/>
      <c r="L54" s="426">
        <v>324</v>
      </c>
      <c r="M54" s="426">
        <v>322</v>
      </c>
      <c r="N54" s="426">
        <v>319</v>
      </c>
      <c r="O54" s="426">
        <v>305</v>
      </c>
      <c r="P54" s="426">
        <v>1270</v>
      </c>
      <c r="Q54" s="426"/>
      <c r="R54" s="426">
        <v>335</v>
      </c>
      <c r="S54" s="426">
        <v>304</v>
      </c>
      <c r="T54" s="426">
        <v>303</v>
      </c>
      <c r="U54" s="426">
        <v>229</v>
      </c>
      <c r="V54" s="426">
        <v>1171</v>
      </c>
      <c r="W54" s="426"/>
      <c r="X54" s="426">
        <v>335</v>
      </c>
      <c r="Y54" s="426">
        <v>302</v>
      </c>
      <c r="Z54" s="426">
        <v>351</v>
      </c>
      <c r="AA54" s="426">
        <v>258</v>
      </c>
      <c r="AB54" s="426">
        <v>1246</v>
      </c>
      <c r="AC54" s="426"/>
      <c r="AD54" s="426">
        <v>287</v>
      </c>
      <c r="AE54" s="426">
        <v>334</v>
      </c>
      <c r="AF54" s="426">
        <v>263</v>
      </c>
      <c r="AG54" s="426">
        <v>253</v>
      </c>
      <c r="AH54" s="426">
        <v>1137</v>
      </c>
      <c r="AI54" s="426"/>
      <c r="AJ54" s="426">
        <v>313</v>
      </c>
      <c r="AK54" s="426">
        <v>300</v>
      </c>
      <c r="AL54" s="426">
        <v>283</v>
      </c>
      <c r="AM54" s="426">
        <v>332</v>
      </c>
      <c r="AN54" s="426">
        <v>1228</v>
      </c>
      <c r="AO54" s="426"/>
      <c r="AP54" s="426">
        <v>310</v>
      </c>
      <c r="AQ54" s="426">
        <v>295</v>
      </c>
      <c r="AR54" s="426">
        <v>293</v>
      </c>
      <c r="AS54" s="426">
        <v>236</v>
      </c>
      <c r="AT54" s="426">
        <v>1134</v>
      </c>
      <c r="AU54" s="445"/>
    </row>
    <row r="55" spans="1:47" s="1" customFormat="1" ht="15" customHeight="1" x14ac:dyDescent="0.2">
      <c r="A55" s="151" t="str">
        <f>IF(Contents!$A$1=2,"in Russia","- в России")</f>
        <v>- в России</v>
      </c>
      <c r="B55" s="280" t="str">
        <f>IF(Contents!$A$1=2,"th. t","тыс. т")</f>
        <v>тыс. т</v>
      </c>
      <c r="C55" s="144"/>
      <c r="D55" s="418">
        <v>310</v>
      </c>
      <c r="E55" s="440"/>
      <c r="F55" s="418">
        <v>77</v>
      </c>
      <c r="G55" s="440">
        <v>178</v>
      </c>
      <c r="H55" s="440">
        <v>221</v>
      </c>
      <c r="I55" s="440">
        <v>210</v>
      </c>
      <c r="J55" s="440">
        <v>686</v>
      </c>
      <c r="K55" s="513"/>
      <c r="L55" s="513">
        <v>233</v>
      </c>
      <c r="M55" s="513">
        <v>225</v>
      </c>
      <c r="N55" s="513">
        <v>233</v>
      </c>
      <c r="O55" s="513">
        <v>204</v>
      </c>
      <c r="P55" s="513">
        <v>895</v>
      </c>
      <c r="Q55" s="440"/>
      <c r="R55" s="513">
        <v>240</v>
      </c>
      <c r="S55" s="513">
        <v>212</v>
      </c>
      <c r="T55" s="513">
        <v>204</v>
      </c>
      <c r="U55" s="513">
        <v>142</v>
      </c>
      <c r="V55" s="513">
        <v>798</v>
      </c>
      <c r="W55" s="440"/>
      <c r="X55" s="513">
        <v>250</v>
      </c>
      <c r="Y55" s="513">
        <v>225</v>
      </c>
      <c r="Z55" s="513">
        <v>254</v>
      </c>
      <c r="AA55" s="513">
        <v>205</v>
      </c>
      <c r="AB55" s="513">
        <v>934</v>
      </c>
      <c r="AC55" s="440"/>
      <c r="AD55" s="513">
        <v>215</v>
      </c>
      <c r="AE55" s="513">
        <v>235</v>
      </c>
      <c r="AF55" s="513">
        <v>170</v>
      </c>
      <c r="AG55" s="513">
        <v>170</v>
      </c>
      <c r="AH55" s="513">
        <v>790</v>
      </c>
      <c r="AI55" s="440"/>
      <c r="AJ55" s="513">
        <v>228</v>
      </c>
      <c r="AK55" s="513">
        <v>219</v>
      </c>
      <c r="AL55" s="513">
        <v>198</v>
      </c>
      <c r="AM55" s="513">
        <v>253</v>
      </c>
      <c r="AN55" s="513">
        <v>898</v>
      </c>
      <c r="AO55" s="440"/>
      <c r="AP55" s="513">
        <v>233</v>
      </c>
      <c r="AQ55" s="513">
        <v>210</v>
      </c>
      <c r="AR55" s="513">
        <v>214</v>
      </c>
      <c r="AS55" s="513">
        <v>168</v>
      </c>
      <c r="AT55" s="513">
        <v>825</v>
      </c>
      <c r="AU55" s="445"/>
    </row>
    <row r="56" spans="1:47" s="1" customFormat="1" ht="15" customHeight="1" x14ac:dyDescent="0.2">
      <c r="A56" s="151" t="str">
        <f>IF(Contents!$A$1=2,"outside Russia","- за рубежом")</f>
        <v>- за рубежом</v>
      </c>
      <c r="B56" s="280" t="str">
        <f>IF(Contents!$A$1=2,"th. t","тыс. т")</f>
        <v>тыс. т</v>
      </c>
      <c r="C56" s="144"/>
      <c r="D56" s="418">
        <v>358</v>
      </c>
      <c r="E56" s="440"/>
      <c r="F56" s="418">
        <v>92</v>
      </c>
      <c r="G56" s="440">
        <v>86</v>
      </c>
      <c r="H56" s="440">
        <v>93</v>
      </c>
      <c r="I56" s="440">
        <v>116</v>
      </c>
      <c r="J56" s="440">
        <v>387</v>
      </c>
      <c r="K56" s="513"/>
      <c r="L56" s="513">
        <v>91</v>
      </c>
      <c r="M56" s="513">
        <v>97</v>
      </c>
      <c r="N56" s="513">
        <v>86</v>
      </c>
      <c r="O56" s="513">
        <v>101</v>
      </c>
      <c r="P56" s="513">
        <v>375</v>
      </c>
      <c r="Q56" s="440"/>
      <c r="R56" s="513">
        <v>95</v>
      </c>
      <c r="S56" s="513">
        <v>92</v>
      </c>
      <c r="T56" s="513">
        <v>99</v>
      </c>
      <c r="U56" s="513">
        <v>87</v>
      </c>
      <c r="V56" s="513">
        <v>373</v>
      </c>
      <c r="W56" s="440"/>
      <c r="X56" s="513">
        <v>85</v>
      </c>
      <c r="Y56" s="513">
        <v>77</v>
      </c>
      <c r="Z56" s="513">
        <v>97</v>
      </c>
      <c r="AA56" s="513">
        <v>53</v>
      </c>
      <c r="AB56" s="513">
        <v>312</v>
      </c>
      <c r="AC56" s="440"/>
      <c r="AD56" s="513">
        <v>72</v>
      </c>
      <c r="AE56" s="513">
        <v>99</v>
      </c>
      <c r="AF56" s="513">
        <v>93</v>
      </c>
      <c r="AG56" s="513">
        <v>83</v>
      </c>
      <c r="AH56" s="513">
        <v>347</v>
      </c>
      <c r="AI56" s="440"/>
      <c r="AJ56" s="513">
        <v>85</v>
      </c>
      <c r="AK56" s="513">
        <v>81</v>
      </c>
      <c r="AL56" s="513">
        <v>85</v>
      </c>
      <c r="AM56" s="513">
        <v>79</v>
      </c>
      <c r="AN56" s="513">
        <v>330</v>
      </c>
      <c r="AO56" s="440"/>
      <c r="AP56" s="513">
        <v>77</v>
      </c>
      <c r="AQ56" s="513">
        <v>85</v>
      </c>
      <c r="AR56" s="513">
        <v>79</v>
      </c>
      <c r="AS56" s="513">
        <v>68</v>
      </c>
      <c r="AT56" s="513">
        <v>309</v>
      </c>
      <c r="AU56" s="445"/>
    </row>
    <row r="57" spans="1:47" s="2" customFormat="1" ht="15" customHeight="1" x14ac:dyDescent="0.2">
      <c r="A57" s="22"/>
      <c r="B57" s="22"/>
      <c r="D57" s="24"/>
      <c r="F57" s="3"/>
      <c r="G57" s="3"/>
      <c r="J57" s="24"/>
      <c r="L57" s="3"/>
      <c r="M57" s="3"/>
      <c r="Q57" s="221"/>
      <c r="W57" s="221"/>
      <c r="AC57" s="221"/>
      <c r="AI57" s="221"/>
      <c r="AO57" s="221"/>
      <c r="AT57" s="206"/>
      <c r="AU57" s="222"/>
    </row>
    <row r="58" spans="1:47" ht="15" customHeight="1" x14ac:dyDescent="0.2">
      <c r="A58" s="51" t="str">
        <f>IF(Contents!$A$1=2,"Contents","Содержание")</f>
        <v>Содержание</v>
      </c>
      <c r="B58" s="291"/>
    </row>
    <row r="60" spans="1:47" s="220" customFormat="1" ht="15" customHeight="1" x14ac:dyDescent="0.2">
      <c r="B60" s="221"/>
      <c r="AT60" s="222"/>
      <c r="AU60" s="222"/>
    </row>
    <row r="61" spans="1:47" s="220" customFormat="1" ht="15" customHeight="1" x14ac:dyDescent="0.2">
      <c r="B61" s="221"/>
      <c r="AT61" s="222"/>
      <c r="AU61" s="222"/>
    </row>
    <row r="62" spans="1:47" s="220" customFormat="1" ht="15" customHeight="1" x14ac:dyDescent="0.2">
      <c r="B62" s="221"/>
      <c r="AT62" s="222"/>
      <c r="AU62" s="222"/>
    </row>
    <row r="63" spans="1:47" s="220" customFormat="1" ht="15" customHeight="1" x14ac:dyDescent="0.2">
      <c r="B63" s="221"/>
      <c r="AT63" s="222"/>
      <c r="AU63" s="222"/>
    </row>
    <row r="64" spans="1:47" s="220" customFormat="1" ht="15" customHeight="1" x14ac:dyDescent="0.2">
      <c r="B64" s="221"/>
      <c r="AT64" s="222"/>
      <c r="AU64" s="222"/>
    </row>
    <row r="65" spans="2:47" s="220" customFormat="1" ht="15" customHeight="1" x14ac:dyDescent="0.2">
      <c r="B65" s="221"/>
      <c r="AT65" s="222"/>
      <c r="AU65" s="222"/>
    </row>
    <row r="66" spans="2:47" s="220" customFormat="1" ht="15" customHeight="1" x14ac:dyDescent="0.2">
      <c r="B66" s="221"/>
      <c r="AT66" s="222"/>
      <c r="AU66" s="222"/>
    </row>
    <row r="67" spans="2:47" s="220" customFormat="1" ht="15" customHeight="1" x14ac:dyDescent="0.2">
      <c r="B67" s="221"/>
      <c r="AT67" s="222"/>
      <c r="AU67" s="222"/>
    </row>
    <row r="68" spans="2:47" s="220" customFormat="1" ht="15" customHeight="1" x14ac:dyDescent="0.2">
      <c r="B68" s="221"/>
      <c r="AT68" s="222"/>
      <c r="AU68" s="222"/>
    </row>
    <row r="69" spans="2:47" s="220" customFormat="1" ht="15" customHeight="1" x14ac:dyDescent="0.2">
      <c r="B69" s="221"/>
      <c r="AT69" s="222"/>
      <c r="AU69" s="222"/>
    </row>
    <row r="70" spans="2:47" s="220" customFormat="1" ht="15" customHeight="1" x14ac:dyDescent="0.2">
      <c r="B70" s="221"/>
      <c r="AT70" s="222"/>
      <c r="AU70" s="222"/>
    </row>
    <row r="71" spans="2:47" s="220" customFormat="1" ht="15" customHeight="1" x14ac:dyDescent="0.2">
      <c r="B71" s="221"/>
      <c r="AT71" s="222"/>
      <c r="AU71" s="222"/>
    </row>
    <row r="72" spans="2:47" s="220" customFormat="1" ht="15" customHeight="1" x14ac:dyDescent="0.2">
      <c r="B72" s="221"/>
      <c r="AT72" s="222"/>
      <c r="AU72" s="222"/>
    </row>
    <row r="73" spans="2:47" s="220" customFormat="1" ht="15" customHeight="1" x14ac:dyDescent="0.2">
      <c r="B73" s="221"/>
      <c r="AT73" s="222"/>
      <c r="AU73" s="222"/>
    </row>
    <row r="74" spans="2:47" s="220" customFormat="1" ht="15" customHeight="1" x14ac:dyDescent="0.2">
      <c r="B74" s="221"/>
      <c r="AT74" s="222"/>
      <c r="AU74" s="222"/>
    </row>
    <row r="75" spans="2:47" s="220" customFormat="1" ht="15" customHeight="1" x14ac:dyDescent="0.2">
      <c r="B75" s="221"/>
      <c r="AT75" s="222"/>
      <c r="AU75" s="222"/>
    </row>
  </sheetData>
  <conditionalFormatting sqref="A47:Q48 A46:C46 Q46 K46 E46 A1:AB6 A7:Q27 A35:Q40 AN2:AU2 B28:Q28 AN4:AU6 AT15:AU18 AN57:AU1048576 A50:Q56 B49:Q49 AT50:AU52 AU53:AU56 AU8:AU14 AU19:AU49 B29:C34 B41:C45 A57:AB1048576 AV1:XFD1048576">
    <cfRule type="containsText" dxfId="985" priority="161" operator="containsText" text="ложь">
      <formula>NOT(ISERROR(SEARCH("ложь",A1)))</formula>
    </cfRule>
  </conditionalFormatting>
  <conditionalFormatting sqref="D1:AB1">
    <cfRule type="containsText" dxfId="984" priority="160" operator="containsText" text="ложь">
      <formula>NOT(ISERROR(SEARCH("ложь",D1)))</formula>
    </cfRule>
  </conditionalFormatting>
  <conditionalFormatting sqref="R36:W40 R47:W48 R19:W28 R7:AB18 R50:W56 R49:U49 W49 W29:W34 W41:W45">
    <cfRule type="containsText" dxfId="983" priority="150" operator="containsText" text="ложь">
      <formula>NOT(ISERROR(SEARCH("ложь",R7)))</formula>
    </cfRule>
  </conditionalFormatting>
  <conditionalFormatting sqref="R35:W35">
    <cfRule type="containsText" dxfId="982" priority="149" operator="containsText" text="ложь">
      <formula>NOT(ISERROR(SEARCH("ложь",R35)))</formula>
    </cfRule>
  </conditionalFormatting>
  <conditionalFormatting sqref="R46:W46">
    <cfRule type="containsText" dxfId="981" priority="148" operator="containsText" text="ложь">
      <formula>NOT(ISERROR(SEARCH("ложь",R46)))</formula>
    </cfRule>
  </conditionalFormatting>
  <conditionalFormatting sqref="P46">
    <cfRule type="containsText" dxfId="980" priority="147" operator="containsText" text="ложь">
      <formula>NOT(ISERROR(SEARCH("ложь",P46)))</formula>
    </cfRule>
  </conditionalFormatting>
  <conditionalFormatting sqref="O46">
    <cfRule type="containsText" dxfId="979" priority="146" operator="containsText" text="ложь">
      <formula>NOT(ISERROR(SEARCH("ложь",O46)))</formula>
    </cfRule>
  </conditionalFormatting>
  <conditionalFormatting sqref="N46">
    <cfRule type="containsText" dxfId="978" priority="145" operator="containsText" text="ложь">
      <formula>NOT(ISERROR(SEARCH("ложь",N46)))</formula>
    </cfRule>
  </conditionalFormatting>
  <conditionalFormatting sqref="M46">
    <cfRule type="containsText" dxfId="977" priority="144" operator="containsText" text="ложь">
      <formula>NOT(ISERROR(SEARCH("ложь",M46)))</formula>
    </cfRule>
  </conditionalFormatting>
  <conditionalFormatting sqref="L46">
    <cfRule type="containsText" dxfId="976" priority="143" operator="containsText" text="ложь">
      <formula>NOT(ISERROR(SEARCH("ложь",L46)))</formula>
    </cfRule>
  </conditionalFormatting>
  <conditionalFormatting sqref="J46">
    <cfRule type="containsText" dxfId="975" priority="142" operator="containsText" text="ложь">
      <formula>NOT(ISERROR(SEARCH("ложь",J46)))</formula>
    </cfRule>
  </conditionalFormatting>
  <conditionalFormatting sqref="I46">
    <cfRule type="containsText" dxfId="974" priority="141" operator="containsText" text="ложь">
      <formula>NOT(ISERROR(SEARCH("ложь",I46)))</formula>
    </cfRule>
  </conditionalFormatting>
  <conditionalFormatting sqref="H46">
    <cfRule type="containsText" dxfId="973" priority="140" operator="containsText" text="ложь">
      <formula>NOT(ISERROR(SEARCH("ложь",H46)))</formula>
    </cfRule>
  </conditionalFormatting>
  <conditionalFormatting sqref="G46">
    <cfRule type="containsText" dxfId="972" priority="139" operator="containsText" text="ложь">
      <formula>NOT(ISERROR(SEARCH("ложь",G46)))</formula>
    </cfRule>
  </conditionalFormatting>
  <conditionalFormatting sqref="F46">
    <cfRule type="containsText" dxfId="971" priority="138" operator="containsText" text="ложь">
      <formula>NOT(ISERROR(SEARCH("ложь",F46)))</formula>
    </cfRule>
  </conditionalFormatting>
  <conditionalFormatting sqref="D46">
    <cfRule type="containsText" dxfId="970" priority="137" operator="containsText" text="ложь">
      <formula>NOT(ISERROR(SEARCH("ложь",D46)))</formula>
    </cfRule>
  </conditionalFormatting>
  <conditionalFormatting sqref="X19:AB19 X50:AB56 X20:X42 X44:X48">
    <cfRule type="containsText" dxfId="969" priority="130" operator="containsText" text="ложь">
      <formula>NOT(ISERROR(SEARCH("ложь",X19)))</formula>
    </cfRule>
  </conditionalFormatting>
  <conditionalFormatting sqref="Y20:Y42 Y44:Y48">
    <cfRule type="containsText" dxfId="968" priority="124" operator="containsText" text="ложь">
      <formula>NOT(ISERROR(SEARCH("ложь",Y20)))</formula>
    </cfRule>
  </conditionalFormatting>
  <conditionalFormatting sqref="Z20:AB42 Z44:AB48">
    <cfRule type="containsText" dxfId="967" priority="121" operator="containsText" text="ложь">
      <formula>NOT(ISERROR(SEARCH("ложь",Z20)))</formula>
    </cfRule>
  </conditionalFormatting>
  <conditionalFormatting sqref="AC2:AM2 AC4:AM6 AC1:AI1 AC57:AM1048576 AC3:AU3">
    <cfRule type="containsText" dxfId="966" priority="110" operator="containsText" text="ложь">
      <formula>NOT(ISERROR(SEARCH("ложь",AC1)))</formula>
    </cfRule>
  </conditionalFormatting>
  <conditionalFormatting sqref="AC1:AI1">
    <cfRule type="containsText" dxfId="965" priority="109" operator="containsText" text="ложь">
      <formula>NOT(ISERROR(SEARCH("ложь",AC1)))</formula>
    </cfRule>
  </conditionalFormatting>
  <conditionalFormatting sqref="AC7:AI7 AC15:AI18 AC8:AC14 AC19:AC56">
    <cfRule type="containsText" dxfId="964" priority="108" operator="containsText" text="ложь">
      <formula>NOT(ISERROR(SEARCH("ложь",AC7)))</formula>
    </cfRule>
  </conditionalFormatting>
  <conditionalFormatting sqref="AD19:AI19 AD50:AI53 AI49">
    <cfRule type="containsText" dxfId="963" priority="105" operator="containsText" text="ложь">
      <formula>NOT(ISERROR(SEARCH("ложь",AD19)))</formula>
    </cfRule>
  </conditionalFormatting>
  <conditionalFormatting sqref="AD8:AI14">
    <cfRule type="containsText" dxfId="962" priority="96" operator="containsText" text="ложь">
      <formula>NOT(ISERROR(SEARCH("ложь",AD8)))</formula>
    </cfRule>
  </conditionalFormatting>
  <conditionalFormatting sqref="AD20:AI42 AD44:AI48 AH43:AI43">
    <cfRule type="containsText" dxfId="961" priority="95" operator="containsText" text="ложь">
      <formula>NOT(ISERROR(SEARCH("ложь",AD20)))</formula>
    </cfRule>
  </conditionalFormatting>
  <conditionalFormatting sqref="AD54:AI56">
    <cfRule type="containsText" dxfId="960" priority="92" operator="containsText" text="ложь">
      <formula>NOT(ISERROR(SEARCH("ложь",AD54)))</formula>
    </cfRule>
  </conditionalFormatting>
  <conditionalFormatting sqref="A28:A34">
    <cfRule type="containsText" dxfId="959" priority="91" operator="containsText" text="ложь">
      <formula>NOT(ISERROR(SEARCH("ложь",A28)))</formula>
    </cfRule>
  </conditionalFormatting>
  <conditionalFormatting sqref="A41">
    <cfRule type="containsText" dxfId="958" priority="90" operator="containsText" text="ложь">
      <formula>NOT(ISERROR(SEARCH("ложь",A41)))</formula>
    </cfRule>
  </conditionalFormatting>
  <conditionalFormatting sqref="A42:A43">
    <cfRule type="containsText" dxfId="957" priority="89" operator="containsText" text="ложь">
      <formula>NOT(ISERROR(SEARCH("ложь",A42)))</formula>
    </cfRule>
  </conditionalFormatting>
  <conditionalFormatting sqref="A44:A45">
    <cfRule type="containsText" dxfId="956" priority="88" operator="containsText" text="ложь">
      <formula>NOT(ISERROR(SEARCH("ложь",A44)))</formula>
    </cfRule>
  </conditionalFormatting>
  <conditionalFormatting sqref="AJ7:AO7">
    <cfRule type="containsText" dxfId="955" priority="75" operator="containsText" text="ложь">
      <formula>NOT(ISERROR(SEARCH("ложь",AJ7)))</formula>
    </cfRule>
  </conditionalFormatting>
  <conditionalFormatting sqref="AJ8:AO14">
    <cfRule type="containsText" dxfId="954" priority="68" operator="containsText" text="ложь">
      <formula>NOT(ISERROR(SEARCH("ложь",AJ8)))</formula>
    </cfRule>
  </conditionalFormatting>
  <conditionalFormatting sqref="AJ20:AJ48">
    <cfRule type="containsText" dxfId="953" priority="67" operator="containsText" text="ложь">
      <formula>NOT(ISERROR(SEARCH("ложь",AJ20)))</formula>
    </cfRule>
  </conditionalFormatting>
  <conditionalFormatting sqref="AJ1:AO1">
    <cfRule type="containsText" dxfId="952" priority="72" operator="containsText" text="ложь">
      <formula>NOT(ISERROR(SEARCH("ложь",AJ1)))</formula>
    </cfRule>
  </conditionalFormatting>
  <conditionalFormatting sqref="AJ1:AO1">
    <cfRule type="containsText" dxfId="951" priority="71" operator="containsText" text="ложь">
      <formula>NOT(ISERROR(SEARCH("ложь",AJ1)))</formula>
    </cfRule>
  </conditionalFormatting>
  <conditionalFormatting sqref="AJ15:AS18">
    <cfRule type="containsText" dxfId="950" priority="70" operator="containsText" text="ложь">
      <formula>NOT(ISERROR(SEARCH("ложь",AJ15)))</formula>
    </cfRule>
  </conditionalFormatting>
  <conditionalFormatting sqref="AJ19:AO19 AJ50:AS52 AJ53:AO53">
    <cfRule type="containsText" dxfId="949" priority="69" operator="containsText" text="ложь">
      <formula>NOT(ISERROR(SEARCH("ложь",AJ19)))</formula>
    </cfRule>
  </conditionalFormatting>
  <conditionalFormatting sqref="AJ54:AO56">
    <cfRule type="containsText" dxfId="948" priority="66" operator="containsText" text="ложь">
      <formula>NOT(ISERROR(SEARCH("ложь",AJ54)))</formula>
    </cfRule>
  </conditionalFormatting>
  <conditionalFormatting sqref="A49">
    <cfRule type="containsText" dxfId="947" priority="63" operator="containsText" text="ложь">
      <formula>NOT(ISERROR(SEARCH("ложь",A49)))</formula>
    </cfRule>
  </conditionalFormatting>
  <conditionalFormatting sqref="AJ49">
    <cfRule type="containsText" dxfId="946" priority="62" operator="containsText" text="ложь">
      <formula>NOT(ISERROR(SEARCH("ложь",AJ49)))</formula>
    </cfRule>
  </conditionalFormatting>
  <conditionalFormatting sqref="AD49:AH49">
    <cfRule type="containsText" dxfId="945" priority="61" operator="containsText" text="ложь">
      <formula>NOT(ISERROR(SEARCH("ложь",AD49)))</formula>
    </cfRule>
  </conditionalFormatting>
  <conditionalFormatting sqref="AB49">
    <cfRule type="containsText" dxfId="944" priority="58" operator="containsText" text="ложь">
      <formula>NOT(ISERROR(SEARCH("ложь",AB49)))</formula>
    </cfRule>
  </conditionalFormatting>
  <conditionalFormatting sqref="AA49">
    <cfRule type="containsText" dxfId="943" priority="57" operator="containsText" text="ложь">
      <formula>NOT(ISERROR(SEARCH("ложь",AA49)))</formula>
    </cfRule>
  </conditionalFormatting>
  <conditionalFormatting sqref="Z49">
    <cfRule type="containsText" dxfId="942" priority="56" operator="containsText" text="ложь">
      <formula>NOT(ISERROR(SEARCH("ложь",Z49)))</formula>
    </cfRule>
  </conditionalFormatting>
  <conditionalFormatting sqref="Y49">
    <cfRule type="containsText" dxfId="941" priority="55" operator="containsText" text="ложь">
      <formula>NOT(ISERROR(SEARCH("ложь",Y49)))</formula>
    </cfRule>
  </conditionalFormatting>
  <conditionalFormatting sqref="X49">
    <cfRule type="containsText" dxfId="940" priority="54" operator="containsText" text="ложь">
      <formula>NOT(ISERROR(SEARCH("ложь",X49)))</formula>
    </cfRule>
  </conditionalFormatting>
  <conditionalFormatting sqref="V49">
    <cfRule type="containsText" dxfId="939" priority="53" operator="containsText" text="ложь">
      <formula>NOT(ISERROR(SEARCH("ложь",V49)))</formula>
    </cfRule>
  </conditionalFormatting>
  <conditionalFormatting sqref="AK20:AO48">
    <cfRule type="containsText" dxfId="938" priority="52" operator="containsText" text="ложь">
      <formula>NOT(ISERROR(SEARCH("ложь",AK20)))</formula>
    </cfRule>
  </conditionalFormatting>
  <conditionalFormatting sqref="AK49:AO49">
    <cfRule type="containsText" dxfId="937" priority="51" operator="containsText" text="ложь">
      <formula>NOT(ISERROR(SEARCH("ложь",AK49)))</formula>
    </cfRule>
  </conditionalFormatting>
  <conditionalFormatting sqref="AP7:AU7">
    <cfRule type="containsText" dxfId="936" priority="43" operator="containsText" text="ложь">
      <formula>NOT(ISERROR(SEARCH("ложь",AP7)))</formula>
    </cfRule>
  </conditionalFormatting>
  <conditionalFormatting sqref="AP1:AU1">
    <cfRule type="containsText" dxfId="935" priority="42" operator="containsText" text="ложь">
      <formula>NOT(ISERROR(SEARCH("ложь",AP1)))</formula>
    </cfRule>
  </conditionalFormatting>
  <conditionalFormatting sqref="AP19:AT19">
    <cfRule type="containsText" dxfId="934" priority="40" operator="containsText" text="ложь">
      <formula>NOT(ISERROR(SEARCH("ложь",AP19)))</formula>
    </cfRule>
  </conditionalFormatting>
  <conditionalFormatting sqref="AP53:AT53">
    <cfRule type="containsText" dxfId="933" priority="39" operator="containsText" text="ложь">
      <formula>NOT(ISERROR(SEARCH("ложь",AP53)))</formula>
    </cfRule>
  </conditionalFormatting>
  <conditionalFormatting sqref="AP8:AT14">
    <cfRule type="containsText" dxfId="932" priority="38" operator="containsText" text="ложь">
      <formula>NOT(ISERROR(SEARCH("ложь",AP8)))</formula>
    </cfRule>
  </conditionalFormatting>
  <conditionalFormatting sqref="AP20:AQ48">
    <cfRule type="containsText" dxfId="931" priority="32" operator="containsText" text="ложь">
      <formula>NOT(ISERROR(SEARCH("ложь",AP20)))</formula>
    </cfRule>
  </conditionalFormatting>
  <conditionalFormatting sqref="AP49:AQ49">
    <cfRule type="containsText" dxfId="930" priority="31" operator="containsText" text="ложь">
      <formula>NOT(ISERROR(SEARCH("ложь",AP49)))</formula>
    </cfRule>
  </conditionalFormatting>
  <conditionalFormatting sqref="AP54:AQ56">
    <cfRule type="containsText" dxfId="929" priority="30" operator="containsText" text="ложь">
      <formula>NOT(ISERROR(SEARCH("ложь",AP54)))</formula>
    </cfRule>
  </conditionalFormatting>
  <conditionalFormatting sqref="AR20:AT48">
    <cfRule type="containsText" dxfId="928" priority="29" operator="containsText" text="ложь">
      <formula>NOT(ISERROR(SEARCH("ложь",AR20)))</formula>
    </cfRule>
  </conditionalFormatting>
  <conditionalFormatting sqref="AR49:AT49">
    <cfRule type="containsText" dxfId="927" priority="28" operator="containsText" text="ложь">
      <formula>NOT(ISERROR(SEARCH("ложь",AR49)))</formula>
    </cfRule>
  </conditionalFormatting>
  <conditionalFormatting sqref="AR54:AT56">
    <cfRule type="containsText" dxfId="926" priority="27" operator="containsText" text="ложь">
      <formula>NOT(ISERROR(SEARCH("ложь",AR54)))</formula>
    </cfRule>
  </conditionalFormatting>
  <conditionalFormatting sqref="D29:Q29">
    <cfRule type="containsText" dxfId="925" priority="24" operator="containsText" text="ложь">
      <formula>NOT(ISERROR(SEARCH("ложь",D29)))</formula>
    </cfRule>
  </conditionalFormatting>
  <conditionalFormatting sqref="R29:V29">
    <cfRule type="containsText" dxfId="924" priority="23" operator="containsText" text="ложь">
      <formula>NOT(ISERROR(SEARCH("ложь",R29)))</formula>
    </cfRule>
  </conditionalFormatting>
  <conditionalFormatting sqref="D30:Q30">
    <cfRule type="containsText" dxfId="923" priority="22" operator="containsText" text="ложь">
      <formula>NOT(ISERROR(SEARCH("ложь",D30)))</formula>
    </cfRule>
  </conditionalFormatting>
  <conditionalFormatting sqref="R30:V30">
    <cfRule type="containsText" dxfId="922" priority="21" operator="containsText" text="ложь">
      <formula>NOT(ISERROR(SEARCH("ложь",R30)))</formula>
    </cfRule>
  </conditionalFormatting>
  <conditionalFormatting sqref="D31:Q31">
    <cfRule type="containsText" dxfId="921" priority="20" operator="containsText" text="ложь">
      <formula>NOT(ISERROR(SEARCH("ложь",D31)))</formula>
    </cfRule>
  </conditionalFormatting>
  <conditionalFormatting sqref="R31:V31">
    <cfRule type="containsText" dxfId="920" priority="19" operator="containsText" text="ложь">
      <formula>NOT(ISERROR(SEARCH("ложь",R31)))</formula>
    </cfRule>
  </conditionalFormatting>
  <conditionalFormatting sqref="D32:Q32">
    <cfRule type="containsText" dxfId="919" priority="18" operator="containsText" text="ложь">
      <formula>NOT(ISERROR(SEARCH("ложь",D32)))</formula>
    </cfRule>
  </conditionalFormatting>
  <conditionalFormatting sqref="R32:V32">
    <cfRule type="containsText" dxfId="918" priority="17" operator="containsText" text="ложь">
      <formula>NOT(ISERROR(SEARCH("ложь",R32)))</formula>
    </cfRule>
  </conditionalFormatting>
  <conditionalFormatting sqref="D33:Q33">
    <cfRule type="containsText" dxfId="917" priority="16" operator="containsText" text="ложь">
      <formula>NOT(ISERROR(SEARCH("ложь",D33)))</formula>
    </cfRule>
  </conditionalFormatting>
  <conditionalFormatting sqref="R33:V33">
    <cfRule type="containsText" dxfId="916" priority="15" operator="containsText" text="ложь">
      <formula>NOT(ISERROR(SEARCH("ложь",R33)))</formula>
    </cfRule>
  </conditionalFormatting>
  <conditionalFormatting sqref="D34:Q34">
    <cfRule type="containsText" dxfId="915" priority="14" operator="containsText" text="ложь">
      <formula>NOT(ISERROR(SEARCH("ложь",D34)))</formula>
    </cfRule>
  </conditionalFormatting>
  <conditionalFormatting sqref="R34:V34">
    <cfRule type="containsText" dxfId="914" priority="13" operator="containsText" text="ложь">
      <formula>NOT(ISERROR(SEARCH("ложь",R34)))</formula>
    </cfRule>
  </conditionalFormatting>
  <conditionalFormatting sqref="D41:Q41">
    <cfRule type="containsText" dxfId="913" priority="12" operator="containsText" text="ложь">
      <formula>NOT(ISERROR(SEARCH("ложь",D41)))</formula>
    </cfRule>
  </conditionalFormatting>
  <conditionalFormatting sqref="R41:V41">
    <cfRule type="containsText" dxfId="912" priority="11" operator="containsText" text="ложь">
      <formula>NOT(ISERROR(SEARCH("ложь",R41)))</formula>
    </cfRule>
  </conditionalFormatting>
  <conditionalFormatting sqref="D42:Q42">
    <cfRule type="containsText" dxfId="911" priority="10" operator="containsText" text="ложь">
      <formula>NOT(ISERROR(SEARCH("ложь",D42)))</formula>
    </cfRule>
  </conditionalFormatting>
  <conditionalFormatting sqref="R42:V42">
    <cfRule type="containsText" dxfId="910" priority="9" operator="containsText" text="ложь">
      <formula>NOT(ISERROR(SEARCH("ложь",R42)))</formula>
    </cfRule>
  </conditionalFormatting>
  <conditionalFormatting sqref="D43:Q43">
    <cfRule type="containsText" dxfId="909" priority="8" operator="containsText" text="ложь">
      <formula>NOT(ISERROR(SEARCH("ложь",D43)))</formula>
    </cfRule>
  </conditionalFormatting>
  <conditionalFormatting sqref="R43:V43">
    <cfRule type="containsText" dxfId="908" priority="7" operator="containsText" text="ложь">
      <formula>NOT(ISERROR(SEARCH("ложь",R43)))</formula>
    </cfRule>
  </conditionalFormatting>
  <conditionalFormatting sqref="D44:Q44">
    <cfRule type="containsText" dxfId="907" priority="6" operator="containsText" text="ложь">
      <formula>NOT(ISERROR(SEARCH("ложь",D44)))</formula>
    </cfRule>
  </conditionalFormatting>
  <conditionalFormatting sqref="R44:V44">
    <cfRule type="containsText" dxfId="906" priority="5" operator="containsText" text="ложь">
      <formula>NOT(ISERROR(SEARCH("ложь",R44)))</formula>
    </cfRule>
  </conditionalFormatting>
  <conditionalFormatting sqref="D45:Q45">
    <cfRule type="containsText" dxfId="905" priority="4" operator="containsText" text="ложь">
      <formula>NOT(ISERROR(SEARCH("ложь",D45)))</formula>
    </cfRule>
  </conditionalFormatting>
  <conditionalFormatting sqref="R45:V45">
    <cfRule type="containsText" dxfId="904" priority="3" operator="containsText" text="ложь">
      <formula>NOT(ISERROR(SEARCH("ложь",R45)))</formula>
    </cfRule>
  </conditionalFormatting>
  <conditionalFormatting sqref="X43:AB43">
    <cfRule type="containsText" dxfId="903" priority="2" operator="containsText" text="ложь">
      <formula>NOT(ISERROR(SEARCH("ложь",X43)))</formula>
    </cfRule>
  </conditionalFormatting>
  <conditionalFormatting sqref="AD43:AG43">
    <cfRule type="containsText" dxfId="902" priority="1" operator="containsText" text="ложь">
      <formula>NOT(ISERROR(SEARCH("ложь",AD43)))</formula>
    </cfRule>
  </conditionalFormatting>
  <hyperlinks>
    <hyperlink ref="A58" location="Contents!A1" display="Contents!A1" xr:uid="{00000000-0004-0000-0700-000000000000}"/>
  </hyperlinks>
  <pageMargins left="0.7" right="0.7" top="0.75" bottom="0.75" header="0.3" footer="0.3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>
    <pageSetUpPr fitToPage="1"/>
  </sheetPr>
  <dimension ref="A1:AU137"/>
  <sheetViews>
    <sheetView showGridLines="0" zoomScaleNormal="100" workbookViewId="0">
      <pane xSplit="2" ySplit="9" topLeftCell="C10" activePane="bottomRight" state="frozen"/>
      <selection activeCell="AT8" sqref="AT8"/>
      <selection pane="topRight" activeCell="AT8" sqref="AT8"/>
      <selection pane="bottomLeft" activeCell="AT8" sqref="AT8"/>
      <selection pane="bottomRight"/>
    </sheetView>
  </sheetViews>
  <sheetFormatPr defaultColWidth="9.140625" defaultRowHeight="15" customHeight="1" outlineLevelCol="1" x14ac:dyDescent="0.2"/>
  <cols>
    <col min="1" max="1" width="75.7109375" style="20" customWidth="1"/>
    <col min="2" max="2" width="10.7109375" style="244" customWidth="1"/>
    <col min="3" max="3" width="0.85546875" style="20" customWidth="1"/>
    <col min="4" max="4" width="10.7109375" style="20" customWidth="1"/>
    <col min="5" max="5" width="0.85546875" style="220" customWidth="1"/>
    <col min="6" max="9" width="10.7109375" style="20" hidden="1" customWidth="1" outlineLevel="1"/>
    <col min="10" max="10" width="10.7109375" style="20" customWidth="1" collapsed="1"/>
    <col min="11" max="11" width="0.85546875" style="220" customWidth="1"/>
    <col min="12" max="15" width="10.7109375" style="20" hidden="1" customWidth="1" outlineLevel="1"/>
    <col min="16" max="16" width="10.7109375" style="20" customWidth="1" collapsed="1"/>
    <col min="17" max="17" width="0.85546875" style="220" customWidth="1"/>
    <col min="18" max="21" width="10.7109375" style="20" hidden="1" customWidth="1" outlineLevel="1"/>
    <col min="22" max="22" width="10.7109375" style="20" customWidth="1" collapsed="1"/>
    <col min="23" max="23" width="0.85546875" style="220" customWidth="1"/>
    <col min="24" max="27" width="10.7109375" style="20" hidden="1" customWidth="1" outlineLevel="1"/>
    <col min="28" max="28" width="10.7109375" style="20" customWidth="1" collapsed="1"/>
    <col min="29" max="29" width="0.85546875" style="220" customWidth="1"/>
    <col min="30" max="33" width="10.7109375" style="20" hidden="1" customWidth="1" outlineLevel="1"/>
    <col min="34" max="34" width="10.7109375" style="20" customWidth="1" collapsed="1"/>
    <col min="35" max="35" width="0.85546875" style="220" customWidth="1"/>
    <col min="36" max="39" width="10.7109375" style="20" hidden="1" customWidth="1" outlineLevel="1"/>
    <col min="40" max="40" width="10.7109375" style="20" customWidth="1" collapsed="1"/>
    <col min="41" max="41" width="0.85546875" style="220" customWidth="1"/>
    <col min="42" max="45" width="10.7109375" style="20" customWidth="1"/>
    <col min="46" max="16384" width="9.140625" style="20"/>
  </cols>
  <sheetData>
    <row r="1" spans="1:47" s="220" customFormat="1" ht="15" customHeight="1" x14ac:dyDescent="0.2">
      <c r="B1" s="348"/>
      <c r="D1" s="348"/>
      <c r="E1" s="355"/>
      <c r="F1" s="348"/>
      <c r="G1" s="355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</row>
    <row r="2" spans="1:47" ht="15" customHeight="1" x14ac:dyDescent="0.2">
      <c r="A2" s="335" t="str">
        <f>IF(Contents!$A$1=2,"MARKETING AND TRADING","ТОРГОВЫЕ ОПЕРАЦИИ")</f>
        <v>ТОРГОВЫЕ ОПЕРАЦИИ</v>
      </c>
      <c r="B2" s="309"/>
    </row>
    <row r="3" spans="1:47" ht="15" customHeight="1" thickBot="1" x14ac:dyDescent="0.25">
      <c r="A3" s="132"/>
      <c r="B3" s="310"/>
      <c r="C3" s="31"/>
      <c r="D3" s="31"/>
      <c r="E3" s="60"/>
      <c r="F3" s="31"/>
      <c r="G3" s="31"/>
      <c r="H3" s="31"/>
      <c r="I3" s="31"/>
      <c r="J3" s="31"/>
      <c r="K3" s="60"/>
      <c r="L3" s="31"/>
      <c r="M3" s="31"/>
      <c r="N3" s="31"/>
      <c r="O3" s="31"/>
      <c r="P3" s="31"/>
      <c r="Q3" s="60"/>
      <c r="R3" s="31"/>
      <c r="S3" s="31"/>
      <c r="T3" s="31"/>
      <c r="U3" s="31"/>
      <c r="V3" s="31"/>
      <c r="W3" s="60"/>
      <c r="X3" s="31"/>
      <c r="Y3" s="31"/>
      <c r="Z3" s="31"/>
      <c r="AA3" s="31"/>
      <c r="AB3" s="31"/>
      <c r="AC3" s="60"/>
      <c r="AD3" s="31"/>
      <c r="AE3" s="31"/>
      <c r="AF3" s="31"/>
      <c r="AG3" s="31"/>
      <c r="AH3" s="31"/>
      <c r="AI3" s="60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7" ht="15" customHeight="1" thickTop="1" x14ac:dyDescent="0.2">
      <c r="AU4" s="80"/>
    </row>
    <row r="5" spans="1:47" ht="15" customHeight="1" x14ac:dyDescent="0.2">
      <c r="A5" s="39" t="str">
        <f>IF(Contents!$A$1=2,"Purchases","Закупки")</f>
        <v>Закупки</v>
      </c>
      <c r="B5" s="309"/>
      <c r="AU5" s="80"/>
    </row>
    <row r="6" spans="1:47" ht="15" customHeight="1" x14ac:dyDescent="0.2">
      <c r="AU6" s="80"/>
    </row>
    <row r="7" spans="1:47" s="21" customFormat="1" ht="15" customHeight="1" x14ac:dyDescent="0.3">
      <c r="A7" s="69" t="str">
        <f>IF(Contents!$A$1=2,"Crude oil purchased","Закупка нефти")</f>
        <v>Закупка нефти</v>
      </c>
      <c r="B7" s="311"/>
      <c r="E7" s="223"/>
      <c r="K7" s="223"/>
      <c r="Q7" s="223"/>
      <c r="W7" s="223"/>
      <c r="AC7" s="223"/>
      <c r="AI7" s="223"/>
      <c r="AO7" s="223"/>
      <c r="AU7" s="80"/>
    </row>
    <row r="8" spans="1:47" ht="15" customHeight="1" x14ac:dyDescent="0.2">
      <c r="P8" s="19"/>
      <c r="Q8" s="233"/>
      <c r="R8" s="19"/>
      <c r="S8" s="19"/>
      <c r="T8" s="19"/>
      <c r="U8" s="19"/>
      <c r="V8" s="19"/>
      <c r="W8" s="233"/>
      <c r="X8" s="19"/>
      <c r="Y8" s="19"/>
      <c r="Z8" s="19"/>
      <c r="AA8" s="19"/>
      <c r="AB8" s="19"/>
      <c r="AC8" s="233"/>
      <c r="AD8" s="19"/>
      <c r="AE8" s="19"/>
      <c r="AF8" s="19"/>
      <c r="AG8" s="19"/>
      <c r="AH8" s="19"/>
      <c r="AI8" s="233"/>
      <c r="AJ8" s="19"/>
      <c r="AK8" s="19"/>
      <c r="AL8" s="19"/>
      <c r="AM8" s="19"/>
      <c r="AN8" s="19"/>
      <c r="AO8" s="233"/>
      <c r="AP8" s="19"/>
      <c r="AQ8" s="19"/>
      <c r="AR8" s="19"/>
      <c r="AS8" s="19"/>
      <c r="AU8" s="80"/>
    </row>
    <row r="9" spans="1:47" s="1" customFormat="1" ht="15" customHeight="1" x14ac:dyDescent="0.2">
      <c r="A9" s="75"/>
      <c r="B9" s="313"/>
      <c r="C9" s="16"/>
      <c r="D9" s="317">
        <v>2014</v>
      </c>
      <c r="E9" s="324"/>
      <c r="F9" s="325" t="str">
        <f>IF(Contents!$A$1=2,"1Q","1 кв")</f>
        <v>1 кв</v>
      </c>
      <c r="G9" s="325" t="str">
        <f>IF(Contents!$A$1=2,"2Q","2 кв")</f>
        <v>2 кв</v>
      </c>
      <c r="H9" s="325" t="str">
        <f>IF(Contents!$A$1=2,"3Q","3 кв")</f>
        <v>3 кв</v>
      </c>
      <c r="I9" s="325" t="str">
        <f>IF(Contents!$A$1=2,"4Q","4 кв")</f>
        <v>4 кв</v>
      </c>
      <c r="J9" s="317">
        <v>2015</v>
      </c>
      <c r="K9" s="324"/>
      <c r="L9" s="325" t="str">
        <f>IF(Contents!$A$1=2,"1Q","1 кв")</f>
        <v>1 кв</v>
      </c>
      <c r="M9" s="325" t="str">
        <f>IF(Contents!$A$1=2,"2Q","2 кв")</f>
        <v>2 кв</v>
      </c>
      <c r="N9" s="325" t="str">
        <f>IF(Contents!$A$1=2,"3Q","3 кв")</f>
        <v>3 кв</v>
      </c>
      <c r="O9" s="325" t="str">
        <f>IF(Contents!$A$1=2,"4Q","4 кв")</f>
        <v>4 кв</v>
      </c>
      <c r="P9" s="317">
        <v>2016</v>
      </c>
      <c r="Q9" s="324"/>
      <c r="R9" s="325" t="str">
        <f>IF(Contents!$A$1=2,"1Q","1 кв")</f>
        <v>1 кв</v>
      </c>
      <c r="S9" s="325" t="str">
        <f>IF(Contents!$A$1=2,"2Q","2 кв")</f>
        <v>2 кв</v>
      </c>
      <c r="T9" s="325" t="str">
        <f>IF(Contents!$A$1=2,"3Q","3 кв")</f>
        <v>3 кв</v>
      </c>
      <c r="U9" s="325" t="str">
        <f>IF(Contents!$A$1=2,"4Q","4 кв")</f>
        <v>4 кв</v>
      </c>
      <c r="V9" s="326">
        <v>2017</v>
      </c>
      <c r="W9" s="328"/>
      <c r="X9" s="325" t="str">
        <f>IF(Contents!$A$1=2,"1Q","1 кв")</f>
        <v>1 кв</v>
      </c>
      <c r="Y9" s="325" t="str">
        <f>IF(Contents!$A$1=2,"2Q","2 кв")</f>
        <v>2 кв</v>
      </c>
      <c r="Z9" s="325" t="str">
        <f>IF(Contents!$A$1=2,"3Q","3 кв")</f>
        <v>3 кв</v>
      </c>
      <c r="AA9" s="325" t="str">
        <f>IF(Contents!$A$1=2,"4Q","4 кв")</f>
        <v>4 кв</v>
      </c>
      <c r="AB9" s="326">
        <v>2018</v>
      </c>
      <c r="AC9" s="328"/>
      <c r="AD9" s="325" t="str">
        <f>IF(Contents!$A$1=2,"1Q","1 кв")</f>
        <v>1 кв</v>
      </c>
      <c r="AE9" s="325" t="str">
        <f>IF(Contents!$A$1=2,"2Q","2 кв")</f>
        <v>2 кв</v>
      </c>
      <c r="AF9" s="325" t="str">
        <f>IF(Contents!$A$1=2,"3Q","3 кв")</f>
        <v>3 кв</v>
      </c>
      <c r="AG9" s="325" t="str">
        <f>IF(Contents!$A$1=2,"4Q","4 кв")</f>
        <v>4 кв</v>
      </c>
      <c r="AH9" s="326">
        <v>2019</v>
      </c>
      <c r="AI9" s="328"/>
      <c r="AJ9" s="325" t="str">
        <f>IF(Contents!$A$1=2,"1Q","1 кв")</f>
        <v>1 кв</v>
      </c>
      <c r="AK9" s="325" t="str">
        <f>IF(Contents!$A$1=2,"2Q","2 кв")</f>
        <v>2 кв</v>
      </c>
      <c r="AL9" s="325" t="str">
        <f>IF(Contents!$A$1=2,"3Q","3 кв")</f>
        <v>3 кв</v>
      </c>
      <c r="AM9" s="325" t="str">
        <f>IF(Contents!$A$1=2,"4Q","4 кв")</f>
        <v>4 кв</v>
      </c>
      <c r="AN9" s="326">
        <v>2020</v>
      </c>
      <c r="AO9" s="328"/>
      <c r="AP9" s="325" t="str">
        <f>IF(Contents!$A$1=2,"1Q","1 кв")</f>
        <v>1 кв</v>
      </c>
      <c r="AQ9" s="325" t="str">
        <f>IF(Contents!$A$1=2,"2Q","2 кв")</f>
        <v>2 кв</v>
      </c>
      <c r="AR9" s="325" t="str">
        <f>IF(Contents!$A$1=2,"3Q","3 кв")</f>
        <v>3 кв</v>
      </c>
      <c r="AS9" s="325" t="str">
        <f>IF(Contents!$A$1=2,"4Q","4 кв")</f>
        <v>4 кв</v>
      </c>
      <c r="AT9" s="326">
        <v>2021</v>
      </c>
      <c r="AU9" s="80"/>
    </row>
    <row r="10" spans="1:47" s="16" customFormat="1" ht="15" customHeight="1" x14ac:dyDescent="0.2">
      <c r="A10" s="140" t="str">
        <f>IF(Contents!$A$1=2,"Total crude oil purchased","Итого закупки нефти")</f>
        <v>Итого закупки нефти</v>
      </c>
      <c r="B10" s="308" t="str">
        <f>IF(Contents!$A$1=2,"th. t","тыс. т")</f>
        <v>тыс. т</v>
      </c>
      <c r="C10" s="146"/>
      <c r="D10" s="426">
        <v>34000</v>
      </c>
      <c r="E10" s="426"/>
      <c r="F10" s="426">
        <v>10142</v>
      </c>
      <c r="G10" s="426">
        <v>11606</v>
      </c>
      <c r="H10" s="426">
        <v>9814</v>
      </c>
      <c r="I10" s="426">
        <v>12206</v>
      </c>
      <c r="J10" s="426">
        <v>43768</v>
      </c>
      <c r="K10" s="426"/>
      <c r="L10" s="426">
        <v>12400</v>
      </c>
      <c r="M10" s="426">
        <v>12569</v>
      </c>
      <c r="N10" s="426">
        <v>13463</v>
      </c>
      <c r="O10" s="426">
        <v>14908</v>
      </c>
      <c r="P10" s="426">
        <v>53340</v>
      </c>
      <c r="Q10" s="426"/>
      <c r="R10" s="426">
        <v>13932</v>
      </c>
      <c r="S10" s="426">
        <v>15217</v>
      </c>
      <c r="T10" s="426">
        <v>14651</v>
      </c>
      <c r="U10" s="426">
        <v>17559</v>
      </c>
      <c r="V10" s="426">
        <v>61359</v>
      </c>
      <c r="W10" s="426"/>
      <c r="X10" s="426">
        <v>15793</v>
      </c>
      <c r="Y10" s="426">
        <v>18609</v>
      </c>
      <c r="Z10" s="426">
        <v>19512</v>
      </c>
      <c r="AA10" s="426">
        <v>17711</v>
      </c>
      <c r="AB10" s="426">
        <v>71625</v>
      </c>
      <c r="AC10" s="426"/>
      <c r="AD10" s="426">
        <v>17020</v>
      </c>
      <c r="AE10" s="426">
        <v>20242</v>
      </c>
      <c r="AF10" s="426">
        <v>20783</v>
      </c>
      <c r="AG10" s="426">
        <v>18072</v>
      </c>
      <c r="AH10" s="426">
        <v>76117</v>
      </c>
      <c r="AI10" s="426"/>
      <c r="AJ10" s="426">
        <v>20515</v>
      </c>
      <c r="AK10" s="426">
        <v>15020</v>
      </c>
      <c r="AL10" s="426">
        <v>18388</v>
      </c>
      <c r="AM10" s="426">
        <v>14477</v>
      </c>
      <c r="AN10" s="426">
        <v>68400</v>
      </c>
      <c r="AO10" s="426"/>
      <c r="AP10" s="426">
        <v>15486</v>
      </c>
      <c r="AQ10" s="426">
        <v>18728</v>
      </c>
      <c r="AR10" s="426">
        <v>23313</v>
      </c>
      <c r="AS10" s="426">
        <v>19135</v>
      </c>
      <c r="AT10" s="426">
        <v>76662</v>
      </c>
      <c r="AU10" s="80"/>
    </row>
    <row r="11" spans="1:47" s="1" customFormat="1" ht="15" customHeight="1" x14ac:dyDescent="0.2">
      <c r="A11" s="153" t="str">
        <f>IF(Contents!$A$1=2,"In Russia","В России")</f>
        <v>В России</v>
      </c>
      <c r="B11" s="280" t="str">
        <f>IF(Contents!$A$1=2,"th. t","тыс. т")</f>
        <v>тыс. т</v>
      </c>
      <c r="C11" s="16"/>
      <c r="D11" s="439">
        <v>1034</v>
      </c>
      <c r="E11" s="439"/>
      <c r="F11" s="439">
        <v>305</v>
      </c>
      <c r="G11" s="439">
        <v>630</v>
      </c>
      <c r="H11" s="439">
        <v>483</v>
      </c>
      <c r="I11" s="439">
        <v>388</v>
      </c>
      <c r="J11" s="439">
        <v>1806</v>
      </c>
      <c r="K11" s="439"/>
      <c r="L11" s="439">
        <v>208</v>
      </c>
      <c r="M11" s="439">
        <v>206</v>
      </c>
      <c r="N11" s="439">
        <v>224</v>
      </c>
      <c r="O11" s="439">
        <v>211</v>
      </c>
      <c r="P11" s="439">
        <v>849</v>
      </c>
      <c r="Q11" s="439"/>
      <c r="R11" s="439">
        <v>247</v>
      </c>
      <c r="S11" s="439">
        <v>264</v>
      </c>
      <c r="T11" s="439">
        <v>236</v>
      </c>
      <c r="U11" s="439">
        <v>215</v>
      </c>
      <c r="V11" s="439">
        <v>962</v>
      </c>
      <c r="W11" s="439"/>
      <c r="X11" s="439">
        <v>215</v>
      </c>
      <c r="Y11" s="439">
        <v>189</v>
      </c>
      <c r="Z11" s="439">
        <v>231</v>
      </c>
      <c r="AA11" s="439">
        <v>239</v>
      </c>
      <c r="AB11" s="439">
        <v>874</v>
      </c>
      <c r="AC11" s="439"/>
      <c r="AD11" s="439">
        <v>168</v>
      </c>
      <c r="AE11" s="439">
        <v>188</v>
      </c>
      <c r="AF11" s="439">
        <v>171</v>
      </c>
      <c r="AG11" s="439">
        <v>229</v>
      </c>
      <c r="AH11" s="439">
        <v>756</v>
      </c>
      <c r="AI11" s="439"/>
      <c r="AJ11" s="439">
        <v>282</v>
      </c>
      <c r="AK11" s="439">
        <v>92</v>
      </c>
      <c r="AL11" s="439">
        <v>85</v>
      </c>
      <c r="AM11" s="439">
        <v>245</v>
      </c>
      <c r="AN11" s="439">
        <v>704</v>
      </c>
      <c r="AO11" s="439"/>
      <c r="AP11" s="439">
        <v>274</v>
      </c>
      <c r="AQ11" s="439">
        <v>310</v>
      </c>
      <c r="AR11" s="439">
        <v>318</v>
      </c>
      <c r="AS11" s="439">
        <v>331</v>
      </c>
      <c r="AT11" s="439">
        <v>1233</v>
      </c>
      <c r="AU11" s="80"/>
    </row>
    <row r="12" spans="1:47" s="1" customFormat="1" ht="15" customHeight="1" x14ac:dyDescent="0.2">
      <c r="A12" s="153" t="str">
        <f>IF(Contents!$A$1=2,"For trading internationally","За рубжом для продажи")</f>
        <v>За рубжом для продажи</v>
      </c>
      <c r="B12" s="280" t="str">
        <f>IF(Contents!$A$1=2,"th. t","тыс. т")</f>
        <v>тыс. т</v>
      </c>
      <c r="C12" s="16"/>
      <c r="D12" s="439">
        <v>16559</v>
      </c>
      <c r="E12" s="439"/>
      <c r="F12" s="439">
        <v>5239</v>
      </c>
      <c r="G12" s="439">
        <v>5628</v>
      </c>
      <c r="H12" s="439">
        <v>3323</v>
      </c>
      <c r="I12" s="439">
        <v>4636</v>
      </c>
      <c r="J12" s="439">
        <v>18826</v>
      </c>
      <c r="K12" s="439"/>
      <c r="L12" s="439">
        <v>6295</v>
      </c>
      <c r="M12" s="439">
        <v>5824</v>
      </c>
      <c r="N12" s="439">
        <v>6544</v>
      </c>
      <c r="O12" s="439">
        <v>9722</v>
      </c>
      <c r="P12" s="439">
        <v>28385</v>
      </c>
      <c r="Q12" s="439"/>
      <c r="R12" s="439">
        <v>7637</v>
      </c>
      <c r="S12" s="439">
        <v>9415</v>
      </c>
      <c r="T12" s="439">
        <v>8044</v>
      </c>
      <c r="U12" s="439">
        <v>11041</v>
      </c>
      <c r="V12" s="439">
        <v>36137</v>
      </c>
      <c r="W12" s="439"/>
      <c r="X12" s="439">
        <v>10055</v>
      </c>
      <c r="Y12" s="439">
        <v>12245</v>
      </c>
      <c r="Z12" s="439">
        <v>12758</v>
      </c>
      <c r="AA12" s="439">
        <v>11287</v>
      </c>
      <c r="AB12" s="439">
        <v>46345</v>
      </c>
      <c r="AC12" s="439"/>
      <c r="AD12" s="439">
        <v>10187</v>
      </c>
      <c r="AE12" s="439">
        <v>14654</v>
      </c>
      <c r="AF12" s="439">
        <v>14265</v>
      </c>
      <c r="AG12" s="439">
        <v>13193</v>
      </c>
      <c r="AH12" s="439">
        <v>52299</v>
      </c>
      <c r="AI12" s="439"/>
      <c r="AJ12" s="439">
        <v>15498</v>
      </c>
      <c r="AK12" s="439">
        <v>11645</v>
      </c>
      <c r="AL12" s="439">
        <v>13728</v>
      </c>
      <c r="AM12" s="439">
        <v>10807</v>
      </c>
      <c r="AN12" s="439">
        <v>51678</v>
      </c>
      <c r="AO12" s="439"/>
      <c r="AP12" s="439">
        <v>11136</v>
      </c>
      <c r="AQ12" s="439">
        <v>13114</v>
      </c>
      <c r="AR12" s="439">
        <v>17964</v>
      </c>
      <c r="AS12" s="439">
        <v>15248</v>
      </c>
      <c r="AT12" s="439">
        <v>57462</v>
      </c>
      <c r="AU12" s="80"/>
    </row>
    <row r="13" spans="1:47" s="1" customFormat="1" ht="15" customHeight="1" x14ac:dyDescent="0.2">
      <c r="A13" s="153" t="str">
        <f>IF(Contents!$A$1=2,"For refining internationally","За рубежом для переработки")</f>
        <v>За рубежом для переработки</v>
      </c>
      <c r="B13" s="280" t="str">
        <f>IF(Contents!$A$1=2,"th. t","тыс. т")</f>
        <v>тыс. т</v>
      </c>
      <c r="C13" s="16"/>
      <c r="D13" s="439">
        <v>12070</v>
      </c>
      <c r="E13" s="439"/>
      <c r="F13" s="439">
        <v>2326</v>
      </c>
      <c r="G13" s="439">
        <v>2851</v>
      </c>
      <c r="H13" s="439">
        <v>3768</v>
      </c>
      <c r="I13" s="439">
        <v>3724</v>
      </c>
      <c r="J13" s="439">
        <v>12669</v>
      </c>
      <c r="K13" s="439"/>
      <c r="L13" s="439">
        <v>3342</v>
      </c>
      <c r="M13" s="439">
        <v>3951</v>
      </c>
      <c r="N13" s="439">
        <v>4102</v>
      </c>
      <c r="O13" s="439">
        <v>3818</v>
      </c>
      <c r="P13" s="439">
        <v>15213</v>
      </c>
      <c r="Q13" s="439"/>
      <c r="R13" s="439">
        <v>5613</v>
      </c>
      <c r="S13" s="439">
        <v>5242</v>
      </c>
      <c r="T13" s="439">
        <v>5799</v>
      </c>
      <c r="U13" s="439">
        <v>5873</v>
      </c>
      <c r="V13" s="439">
        <v>22527</v>
      </c>
      <c r="W13" s="439"/>
      <c r="X13" s="439">
        <v>5232</v>
      </c>
      <c r="Y13" s="439">
        <v>5459</v>
      </c>
      <c r="Z13" s="439">
        <v>6091</v>
      </c>
      <c r="AA13" s="439">
        <v>5745</v>
      </c>
      <c r="AB13" s="439">
        <v>22527</v>
      </c>
      <c r="AC13" s="439"/>
      <c r="AD13" s="439">
        <v>6388</v>
      </c>
      <c r="AE13" s="439">
        <v>5132</v>
      </c>
      <c r="AF13" s="439">
        <v>5922</v>
      </c>
      <c r="AG13" s="439">
        <v>4244</v>
      </c>
      <c r="AH13" s="439">
        <v>21686</v>
      </c>
      <c r="AI13" s="439"/>
      <c r="AJ13" s="439">
        <v>4184</v>
      </c>
      <c r="AK13" s="439">
        <v>2416</v>
      </c>
      <c r="AL13" s="439">
        <v>3761</v>
      </c>
      <c r="AM13" s="439">
        <v>2880</v>
      </c>
      <c r="AN13" s="439">
        <v>13241</v>
      </c>
      <c r="AO13" s="439"/>
      <c r="AP13" s="439">
        <v>3602</v>
      </c>
      <c r="AQ13" s="439">
        <v>4646</v>
      </c>
      <c r="AR13" s="439">
        <v>4489</v>
      </c>
      <c r="AS13" s="439">
        <v>3265</v>
      </c>
      <c r="AT13" s="439">
        <v>16002</v>
      </c>
      <c r="AU13" s="80"/>
    </row>
    <row r="14" spans="1:47" s="1" customFormat="1" ht="15" customHeight="1" x14ac:dyDescent="0.2">
      <c r="A14" s="153" t="str">
        <f>IF(Contents!$A$1=2,"Shipment of the West Qurna-2 compensation crude oil","Компенсационная нефть по проекту «Западная Курна-2»")</f>
        <v>Компенсационная нефть по проекту «Западная Курна-2»</v>
      </c>
      <c r="B14" s="280" t="str">
        <f>IF(Contents!$A$1=2,"th. t","тыс. т")</f>
        <v>тыс. т</v>
      </c>
      <c r="C14" s="16"/>
      <c r="D14" s="439">
        <v>4337</v>
      </c>
      <c r="E14" s="439"/>
      <c r="F14" s="439">
        <v>2272</v>
      </c>
      <c r="G14" s="439">
        <v>2497</v>
      </c>
      <c r="H14" s="439">
        <v>2240</v>
      </c>
      <c r="I14" s="439">
        <v>3458</v>
      </c>
      <c r="J14" s="439">
        <v>10467</v>
      </c>
      <c r="K14" s="439"/>
      <c r="L14" s="439">
        <v>2555</v>
      </c>
      <c r="M14" s="439">
        <v>2588</v>
      </c>
      <c r="N14" s="439">
        <v>2593</v>
      </c>
      <c r="O14" s="439">
        <v>1157</v>
      </c>
      <c r="P14" s="439">
        <v>8893</v>
      </c>
      <c r="Q14" s="439"/>
      <c r="R14" s="439">
        <v>435</v>
      </c>
      <c r="S14" s="439">
        <v>296</v>
      </c>
      <c r="T14" s="439">
        <v>572</v>
      </c>
      <c r="U14" s="439">
        <v>430</v>
      </c>
      <c r="V14" s="439">
        <v>1733</v>
      </c>
      <c r="W14" s="439"/>
      <c r="X14" s="439">
        <v>291</v>
      </c>
      <c r="Y14" s="439">
        <v>716</v>
      </c>
      <c r="Z14" s="439">
        <v>432</v>
      </c>
      <c r="AA14" s="439">
        <v>440</v>
      </c>
      <c r="AB14" s="439">
        <v>1879</v>
      </c>
      <c r="AC14" s="439"/>
      <c r="AD14" s="439">
        <v>277</v>
      </c>
      <c r="AE14" s="439">
        <v>268</v>
      </c>
      <c r="AF14" s="439">
        <v>425</v>
      </c>
      <c r="AG14" s="439">
        <v>406</v>
      </c>
      <c r="AH14" s="439">
        <v>1376</v>
      </c>
      <c r="AI14" s="439"/>
      <c r="AJ14" s="439">
        <v>551</v>
      </c>
      <c r="AK14" s="439">
        <v>867</v>
      </c>
      <c r="AL14" s="439">
        <v>814</v>
      </c>
      <c r="AM14" s="439">
        <v>545</v>
      </c>
      <c r="AN14" s="439">
        <v>2777</v>
      </c>
      <c r="AO14" s="439"/>
      <c r="AP14" s="439">
        <v>474</v>
      </c>
      <c r="AQ14" s="439">
        <v>658</v>
      </c>
      <c r="AR14" s="439">
        <v>542</v>
      </c>
      <c r="AS14" s="439">
        <v>291</v>
      </c>
      <c r="AT14" s="439">
        <v>1965</v>
      </c>
      <c r="AU14" s="80"/>
    </row>
    <row r="15" spans="1:47" s="2" customFormat="1" ht="15" customHeight="1" x14ac:dyDescent="0.2">
      <c r="A15" s="35"/>
      <c r="B15" s="314"/>
      <c r="C15" s="5"/>
      <c r="D15" s="18"/>
      <c r="E15" s="10"/>
      <c r="F15" s="10"/>
      <c r="G15" s="10"/>
      <c r="H15" s="10"/>
      <c r="I15" s="10"/>
      <c r="J15" s="1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U15" s="80"/>
    </row>
    <row r="16" spans="1:47" ht="15" customHeight="1" x14ac:dyDescent="0.2">
      <c r="AU16" s="80"/>
    </row>
    <row r="17" spans="1:47" ht="15" customHeight="1" x14ac:dyDescent="0.2">
      <c r="A17" s="69" t="str">
        <f>IF(Contents!$A$1=2,"Refined products purchased","Закупка нефтепродуктов")</f>
        <v>Закупка нефтепродуктов</v>
      </c>
      <c r="AU17" s="80"/>
    </row>
    <row r="18" spans="1:47" ht="15" customHeight="1" x14ac:dyDescent="0.2">
      <c r="A18" s="48"/>
      <c r="AU18" s="80"/>
    </row>
    <row r="19" spans="1:47" s="1" customFormat="1" ht="15" customHeight="1" x14ac:dyDescent="0.2">
      <c r="A19" s="75"/>
      <c r="B19" s="313"/>
      <c r="C19" s="16"/>
      <c r="D19" s="317">
        <v>2014</v>
      </c>
      <c r="E19" s="324"/>
      <c r="F19" s="325" t="str">
        <f>IF(Contents!$A$1=2,"1Q","1 кв")</f>
        <v>1 кв</v>
      </c>
      <c r="G19" s="325" t="str">
        <f>IF(Contents!$A$1=2,"2Q","2 кв")</f>
        <v>2 кв</v>
      </c>
      <c r="H19" s="325" t="str">
        <f>IF(Contents!$A$1=2,"3Q","3 кв")</f>
        <v>3 кв</v>
      </c>
      <c r="I19" s="325" t="str">
        <f>IF(Contents!$A$1=2,"4Q","4 кв")</f>
        <v>4 кв</v>
      </c>
      <c r="J19" s="317">
        <v>2015</v>
      </c>
      <c r="K19" s="324"/>
      <c r="L19" s="325" t="str">
        <f>IF(Contents!$A$1=2,"1Q","1 кв")</f>
        <v>1 кв</v>
      </c>
      <c r="M19" s="325" t="str">
        <f>IF(Contents!$A$1=2,"2Q","2 кв")</f>
        <v>2 кв</v>
      </c>
      <c r="N19" s="325" t="str">
        <f>IF(Contents!$A$1=2,"3Q","3 кв")</f>
        <v>3 кв</v>
      </c>
      <c r="O19" s="325" t="str">
        <f>IF(Contents!$A$1=2,"4Q","4 кв")</f>
        <v>4 кв</v>
      </c>
      <c r="P19" s="317">
        <v>2016</v>
      </c>
      <c r="Q19" s="324"/>
      <c r="R19" s="325" t="str">
        <f>IF(Contents!$A$1=2,"1Q","1 кв")</f>
        <v>1 кв</v>
      </c>
      <c r="S19" s="325" t="str">
        <f>IF(Contents!$A$1=2,"2Q","2 кв")</f>
        <v>2 кв</v>
      </c>
      <c r="T19" s="325" t="str">
        <f>IF(Contents!$A$1=2,"3Q","3 кв")</f>
        <v>3 кв</v>
      </c>
      <c r="U19" s="325" t="str">
        <f>IF(Contents!$A$1=2,"4Q","4 кв")</f>
        <v>4 кв</v>
      </c>
      <c r="V19" s="326">
        <v>2017</v>
      </c>
      <c r="W19" s="328"/>
      <c r="X19" s="325" t="str">
        <f>IF(Contents!$A$1=2,"1Q","1 кв")</f>
        <v>1 кв</v>
      </c>
      <c r="Y19" s="325" t="str">
        <f>IF(Contents!$A$1=2,"2Q","2 кв")</f>
        <v>2 кв</v>
      </c>
      <c r="Z19" s="325" t="str">
        <f>IF(Contents!$A$1=2,"3Q","3 кв")</f>
        <v>3 кв</v>
      </c>
      <c r="AA19" s="325" t="str">
        <f>IF(Contents!$A$1=2,"4Q","4 кв")</f>
        <v>4 кв</v>
      </c>
      <c r="AB19" s="326">
        <v>2018</v>
      </c>
      <c r="AC19" s="328"/>
      <c r="AD19" s="325" t="str">
        <f>IF(Contents!$A$1=2,"1Q","1 кв")</f>
        <v>1 кв</v>
      </c>
      <c r="AE19" s="325" t="str">
        <f>IF(Contents!$A$1=2,"2Q","2 кв")</f>
        <v>2 кв</v>
      </c>
      <c r="AF19" s="325" t="str">
        <f>IF(Contents!$A$1=2,"3Q","3 кв")</f>
        <v>3 кв</v>
      </c>
      <c r="AG19" s="325" t="str">
        <f>IF(Contents!$A$1=2,"4Q","4 кв")</f>
        <v>4 кв</v>
      </c>
      <c r="AH19" s="326">
        <v>2019</v>
      </c>
      <c r="AI19" s="328"/>
      <c r="AJ19" s="325" t="str">
        <f>IF(Contents!$A$1=2,"1Q","1 кв")</f>
        <v>1 кв</v>
      </c>
      <c r="AK19" s="325" t="str">
        <f>IF(Contents!$A$1=2,"2Q","2 кв")</f>
        <v>2 кв</v>
      </c>
      <c r="AL19" s="325" t="str">
        <f>IF(Contents!$A$1=2,"3Q","3 кв")</f>
        <v>3 кв</v>
      </c>
      <c r="AM19" s="325" t="str">
        <f>IF(Contents!$A$1=2,"4Q","4 кв")</f>
        <v>4 кв</v>
      </c>
      <c r="AN19" s="326">
        <v>2020</v>
      </c>
      <c r="AO19" s="328"/>
      <c r="AP19" s="325" t="str">
        <f>IF(Contents!$A$1=2,"1Q","1 кв")</f>
        <v>1 кв</v>
      </c>
      <c r="AQ19" s="325" t="str">
        <f>IF(Contents!$A$1=2,"2Q","2 кв")</f>
        <v>2 кв</v>
      </c>
      <c r="AR19" s="325" t="str">
        <f>IF(Contents!$A$1=2,"3Q","3 кв")</f>
        <v>3 кв</v>
      </c>
      <c r="AS19" s="325" t="str">
        <f>IF(Contents!$A$1=2,"4Q","4 кв")</f>
        <v>4 кв</v>
      </c>
      <c r="AT19" s="326">
        <v>2021</v>
      </c>
      <c r="AU19" s="80"/>
    </row>
    <row r="20" spans="1:47" s="1" customFormat="1" ht="15" customHeight="1" x14ac:dyDescent="0.2">
      <c r="A20" s="124" t="str">
        <f>IF(Contents!$A$1=2,"Total refined products purchased","Итого закупки нефтепродуктов")</f>
        <v>Итого закупки нефтепродуктов</v>
      </c>
      <c r="B20" s="275" t="str">
        <f>IF(Contents!$A$1=2,"th. t","тыс. т")</f>
        <v>тыс. т</v>
      </c>
      <c r="C20" s="112"/>
      <c r="D20" s="467">
        <v>60951</v>
      </c>
      <c r="E20" s="467"/>
      <c r="F20" s="467">
        <v>15950</v>
      </c>
      <c r="G20" s="467">
        <v>18598</v>
      </c>
      <c r="H20" s="467">
        <v>17974</v>
      </c>
      <c r="I20" s="467">
        <v>17688</v>
      </c>
      <c r="J20" s="467">
        <v>70210</v>
      </c>
      <c r="K20" s="467"/>
      <c r="L20" s="467">
        <v>15771</v>
      </c>
      <c r="M20" s="467">
        <v>17690</v>
      </c>
      <c r="N20" s="467">
        <v>14341</v>
      </c>
      <c r="O20" s="467">
        <v>15505</v>
      </c>
      <c r="P20" s="467">
        <v>63307</v>
      </c>
      <c r="Q20" s="467"/>
      <c r="R20" s="467">
        <v>16551</v>
      </c>
      <c r="S20" s="467">
        <v>15292</v>
      </c>
      <c r="T20" s="467">
        <v>14101</v>
      </c>
      <c r="U20" s="467">
        <v>14068</v>
      </c>
      <c r="V20" s="467">
        <v>60012</v>
      </c>
      <c r="W20" s="467"/>
      <c r="X20" s="467">
        <v>14192</v>
      </c>
      <c r="Y20" s="467">
        <v>13938</v>
      </c>
      <c r="Z20" s="467">
        <v>14003</v>
      </c>
      <c r="AA20" s="467">
        <v>13837</v>
      </c>
      <c r="AB20" s="467">
        <v>55970</v>
      </c>
      <c r="AC20" s="467"/>
      <c r="AD20" s="467">
        <v>13463</v>
      </c>
      <c r="AE20" s="467">
        <v>13962</v>
      </c>
      <c r="AF20" s="467">
        <v>13301</v>
      </c>
      <c r="AG20" s="467">
        <v>13468</v>
      </c>
      <c r="AH20" s="467">
        <v>54194</v>
      </c>
      <c r="AI20" s="467"/>
      <c r="AJ20" s="467">
        <v>13324</v>
      </c>
      <c r="AK20" s="467">
        <v>10760</v>
      </c>
      <c r="AL20" s="467">
        <v>12346</v>
      </c>
      <c r="AM20" s="467">
        <v>15313</v>
      </c>
      <c r="AN20" s="467">
        <v>51743</v>
      </c>
      <c r="AO20" s="467"/>
      <c r="AP20" s="467">
        <v>12507</v>
      </c>
      <c r="AQ20" s="467">
        <v>11373</v>
      </c>
      <c r="AR20" s="467">
        <v>12373</v>
      </c>
      <c r="AS20" s="467">
        <v>12776</v>
      </c>
      <c r="AT20" s="467">
        <v>49029</v>
      </c>
      <c r="AU20" s="80"/>
    </row>
    <row r="21" spans="1:47" s="1" customFormat="1" ht="15" customHeight="1" x14ac:dyDescent="0.2">
      <c r="A21" s="153" t="str">
        <f>IF(Contents!$A$1=2,"In Russia","В России")</f>
        <v>В России</v>
      </c>
      <c r="B21" s="280" t="str">
        <f>IF(Contents!$A$1=2,"th. t","тыс. т")</f>
        <v>тыс. т</v>
      </c>
      <c r="C21" s="141"/>
      <c r="D21" s="418">
        <v>2041</v>
      </c>
      <c r="E21" s="418"/>
      <c r="F21" s="418">
        <v>344</v>
      </c>
      <c r="G21" s="418">
        <v>433</v>
      </c>
      <c r="H21" s="418">
        <v>358</v>
      </c>
      <c r="I21" s="418">
        <v>539</v>
      </c>
      <c r="J21" s="418">
        <v>1674</v>
      </c>
      <c r="K21" s="418"/>
      <c r="L21" s="418">
        <v>384</v>
      </c>
      <c r="M21" s="418">
        <v>445</v>
      </c>
      <c r="N21" s="418">
        <v>458</v>
      </c>
      <c r="O21" s="418">
        <v>380</v>
      </c>
      <c r="P21" s="418">
        <v>1667</v>
      </c>
      <c r="Q21" s="418"/>
      <c r="R21" s="418">
        <v>436</v>
      </c>
      <c r="S21" s="418">
        <v>513</v>
      </c>
      <c r="T21" s="418">
        <v>386</v>
      </c>
      <c r="U21" s="418">
        <v>310</v>
      </c>
      <c r="V21" s="418">
        <v>1645</v>
      </c>
      <c r="W21" s="418"/>
      <c r="X21" s="418">
        <v>357</v>
      </c>
      <c r="Y21" s="418">
        <v>223</v>
      </c>
      <c r="Z21" s="418">
        <v>318</v>
      </c>
      <c r="AA21" s="418">
        <v>344</v>
      </c>
      <c r="AB21" s="418">
        <v>1242</v>
      </c>
      <c r="AC21" s="418"/>
      <c r="AD21" s="418">
        <v>247</v>
      </c>
      <c r="AE21" s="418">
        <v>194</v>
      </c>
      <c r="AF21" s="418">
        <v>244</v>
      </c>
      <c r="AG21" s="418">
        <v>235</v>
      </c>
      <c r="AH21" s="418">
        <v>920</v>
      </c>
      <c r="AI21" s="418"/>
      <c r="AJ21" s="418">
        <v>290</v>
      </c>
      <c r="AK21" s="418">
        <v>99</v>
      </c>
      <c r="AL21" s="418">
        <v>114</v>
      </c>
      <c r="AM21" s="418">
        <v>227</v>
      </c>
      <c r="AN21" s="418">
        <v>730</v>
      </c>
      <c r="AO21" s="418"/>
      <c r="AP21" s="418">
        <v>277</v>
      </c>
      <c r="AQ21" s="418">
        <v>223</v>
      </c>
      <c r="AR21" s="418">
        <v>305</v>
      </c>
      <c r="AS21" s="418">
        <v>278</v>
      </c>
      <c r="AT21" s="418">
        <v>1083</v>
      </c>
      <c r="AU21" s="80"/>
    </row>
    <row r="22" spans="1:47" s="1" customFormat="1" ht="15" customHeight="1" x14ac:dyDescent="0.2">
      <c r="A22" s="153" t="str">
        <f>IF(Contents!$A$1=2,"Internationally","За рубежом")</f>
        <v>За рубежом</v>
      </c>
      <c r="B22" s="280" t="str">
        <f>IF(Contents!$A$1=2,"th. t","тыс. т")</f>
        <v>тыс. т</v>
      </c>
      <c r="C22" s="141"/>
      <c r="D22" s="418">
        <v>58910</v>
      </c>
      <c r="E22" s="418"/>
      <c r="F22" s="418">
        <v>15606</v>
      </c>
      <c r="G22" s="418">
        <v>18165</v>
      </c>
      <c r="H22" s="418">
        <v>17616</v>
      </c>
      <c r="I22" s="418">
        <v>17149</v>
      </c>
      <c r="J22" s="418">
        <v>68536</v>
      </c>
      <c r="K22" s="418"/>
      <c r="L22" s="418">
        <v>15387</v>
      </c>
      <c r="M22" s="418">
        <v>17245</v>
      </c>
      <c r="N22" s="418">
        <v>13883</v>
      </c>
      <c r="O22" s="418">
        <v>15125</v>
      </c>
      <c r="P22" s="418">
        <v>61640</v>
      </c>
      <c r="Q22" s="418"/>
      <c r="R22" s="418">
        <v>16115</v>
      </c>
      <c r="S22" s="418">
        <v>14779</v>
      </c>
      <c r="T22" s="418">
        <v>13715</v>
      </c>
      <c r="U22" s="418">
        <v>13758</v>
      </c>
      <c r="V22" s="418">
        <v>58367</v>
      </c>
      <c r="W22" s="418"/>
      <c r="X22" s="418">
        <v>13835</v>
      </c>
      <c r="Y22" s="418">
        <v>13715</v>
      </c>
      <c r="Z22" s="418">
        <v>13685</v>
      </c>
      <c r="AA22" s="418">
        <v>13493</v>
      </c>
      <c r="AB22" s="418">
        <v>54728</v>
      </c>
      <c r="AC22" s="418"/>
      <c r="AD22" s="418">
        <v>13216</v>
      </c>
      <c r="AE22" s="418">
        <v>13768</v>
      </c>
      <c r="AF22" s="418">
        <v>13057</v>
      </c>
      <c r="AG22" s="418">
        <v>13233</v>
      </c>
      <c r="AH22" s="418">
        <v>53274</v>
      </c>
      <c r="AI22" s="418"/>
      <c r="AJ22" s="418">
        <v>13034</v>
      </c>
      <c r="AK22" s="418">
        <v>10661</v>
      </c>
      <c r="AL22" s="418">
        <v>12232</v>
      </c>
      <c r="AM22" s="418">
        <v>15086</v>
      </c>
      <c r="AN22" s="418">
        <v>51013</v>
      </c>
      <c r="AO22" s="418"/>
      <c r="AP22" s="418">
        <v>12230</v>
      </c>
      <c r="AQ22" s="418">
        <v>11150</v>
      </c>
      <c r="AR22" s="418">
        <v>12068</v>
      </c>
      <c r="AS22" s="418">
        <v>12498</v>
      </c>
      <c r="AT22" s="418">
        <v>47946</v>
      </c>
      <c r="AU22" s="80"/>
    </row>
    <row r="23" spans="1:47" s="408" customFormat="1" ht="15" customHeight="1" x14ac:dyDescent="0.2">
      <c r="A23" s="411" t="str">
        <f>IF(Contents!$A$1=2,"For trading internationally","За рубжом для продажи")</f>
        <v>За рубжом для продажи</v>
      </c>
      <c r="B23" s="410" t="str">
        <f>IF(Contents!$A$1=2,"th. t","тыс. т")</f>
        <v>тыс. т</v>
      </c>
      <c r="C23" s="105"/>
      <c r="D23" s="455">
        <v>0</v>
      </c>
      <c r="E23" s="455"/>
      <c r="F23" s="455">
        <v>0</v>
      </c>
      <c r="G23" s="455">
        <v>0</v>
      </c>
      <c r="H23" s="455">
        <v>0</v>
      </c>
      <c r="I23" s="455">
        <v>0</v>
      </c>
      <c r="J23" s="455">
        <v>0</v>
      </c>
      <c r="K23" s="455"/>
      <c r="L23" s="455">
        <v>0</v>
      </c>
      <c r="M23" s="455">
        <v>0</v>
      </c>
      <c r="N23" s="455">
        <v>0</v>
      </c>
      <c r="O23" s="455">
        <v>0</v>
      </c>
      <c r="P23" s="455">
        <v>0</v>
      </c>
      <c r="Q23" s="455"/>
      <c r="R23" s="455">
        <v>0</v>
      </c>
      <c r="S23" s="455">
        <v>0</v>
      </c>
      <c r="T23" s="455">
        <v>0</v>
      </c>
      <c r="U23" s="455">
        <v>0</v>
      </c>
      <c r="V23" s="455">
        <v>0</v>
      </c>
      <c r="W23" s="455"/>
      <c r="X23" s="455">
        <v>0</v>
      </c>
      <c r="Y23" s="455">
        <v>0</v>
      </c>
      <c r="Z23" s="455">
        <v>0</v>
      </c>
      <c r="AA23" s="455">
        <v>0</v>
      </c>
      <c r="AB23" s="455">
        <v>0</v>
      </c>
      <c r="AC23" s="455"/>
      <c r="AD23" s="455">
        <v>0</v>
      </c>
      <c r="AE23" s="455">
        <v>0</v>
      </c>
      <c r="AF23" s="455">
        <v>0</v>
      </c>
      <c r="AG23" s="455">
        <v>0</v>
      </c>
      <c r="AH23" s="455">
        <v>0</v>
      </c>
      <c r="AI23" s="455"/>
      <c r="AJ23" s="454">
        <v>12400</v>
      </c>
      <c r="AK23" s="454">
        <v>10395</v>
      </c>
      <c r="AL23" s="454">
        <v>11840</v>
      </c>
      <c r="AM23" s="454">
        <v>14820</v>
      </c>
      <c r="AN23" s="454">
        <v>49455</v>
      </c>
      <c r="AO23" s="455"/>
      <c r="AP23" s="454">
        <v>11698</v>
      </c>
      <c r="AQ23" s="454">
        <v>10814</v>
      </c>
      <c r="AR23" s="454">
        <v>11526</v>
      </c>
      <c r="AS23" s="454">
        <v>12222</v>
      </c>
      <c r="AT23" s="454">
        <v>46260</v>
      </c>
      <c r="AU23" s="409"/>
    </row>
    <row r="24" spans="1:47" s="408" customFormat="1" ht="15" customHeight="1" x14ac:dyDescent="0.2">
      <c r="A24" s="411" t="str">
        <f>IF(Contents!$A$1=2,"For refining internationally","За рубежом для переработки")</f>
        <v>За рубежом для переработки</v>
      </c>
      <c r="B24" s="410" t="str">
        <f>IF(Contents!$A$1=2,"th. t","тыс. т")</f>
        <v>тыс. т</v>
      </c>
      <c r="C24" s="105"/>
      <c r="D24" s="455">
        <v>0</v>
      </c>
      <c r="E24" s="455"/>
      <c r="F24" s="455">
        <v>0</v>
      </c>
      <c r="G24" s="455">
        <v>0</v>
      </c>
      <c r="H24" s="455">
        <v>0</v>
      </c>
      <c r="I24" s="455">
        <v>0</v>
      </c>
      <c r="J24" s="455">
        <v>0</v>
      </c>
      <c r="K24" s="455"/>
      <c r="L24" s="455">
        <v>0</v>
      </c>
      <c r="M24" s="455">
        <v>0</v>
      </c>
      <c r="N24" s="455">
        <v>0</v>
      </c>
      <c r="O24" s="455">
        <v>0</v>
      </c>
      <c r="P24" s="455">
        <v>0</v>
      </c>
      <c r="Q24" s="455"/>
      <c r="R24" s="455">
        <v>0</v>
      </c>
      <c r="S24" s="455">
        <v>0</v>
      </c>
      <c r="T24" s="455">
        <v>0</v>
      </c>
      <c r="U24" s="455">
        <v>0</v>
      </c>
      <c r="V24" s="455">
        <v>0</v>
      </c>
      <c r="W24" s="455"/>
      <c r="X24" s="455">
        <v>0</v>
      </c>
      <c r="Y24" s="455">
        <v>0</v>
      </c>
      <c r="Z24" s="455">
        <v>0</v>
      </c>
      <c r="AA24" s="455">
        <v>0</v>
      </c>
      <c r="AB24" s="455">
        <v>0</v>
      </c>
      <c r="AC24" s="455"/>
      <c r="AD24" s="455">
        <v>0</v>
      </c>
      <c r="AE24" s="455">
        <v>0</v>
      </c>
      <c r="AF24" s="455">
        <v>0</v>
      </c>
      <c r="AG24" s="455">
        <v>0</v>
      </c>
      <c r="AH24" s="455">
        <v>0</v>
      </c>
      <c r="AI24" s="455"/>
      <c r="AJ24" s="454">
        <v>634</v>
      </c>
      <c r="AK24" s="454">
        <v>266</v>
      </c>
      <c r="AL24" s="454">
        <v>392</v>
      </c>
      <c r="AM24" s="454">
        <v>266</v>
      </c>
      <c r="AN24" s="454">
        <v>1558</v>
      </c>
      <c r="AO24" s="455"/>
      <c r="AP24" s="454">
        <v>532</v>
      </c>
      <c r="AQ24" s="454">
        <v>336</v>
      </c>
      <c r="AR24" s="454">
        <v>542</v>
      </c>
      <c r="AS24" s="454">
        <v>276</v>
      </c>
      <c r="AT24" s="454">
        <v>1686</v>
      </c>
      <c r="AU24" s="409"/>
    </row>
    <row r="25" spans="1:47" ht="15" customHeight="1" x14ac:dyDescent="0.2">
      <c r="AU25" s="80"/>
    </row>
    <row r="26" spans="1:47" ht="15" customHeight="1" x14ac:dyDescent="0.2">
      <c r="AU26" s="80"/>
    </row>
    <row r="27" spans="1:47" ht="15" customHeight="1" x14ac:dyDescent="0.2">
      <c r="A27" s="69" t="str">
        <f>IF(Contents!$A$1=2," Petrochemical products purchased","Закупка нефтехимии")</f>
        <v>Закупка нефтехимии</v>
      </c>
      <c r="AU27" s="80"/>
    </row>
    <row r="28" spans="1:47" ht="15" customHeight="1" x14ac:dyDescent="0.2">
      <c r="A28" s="69"/>
      <c r="AU28" s="80"/>
    </row>
    <row r="29" spans="1:47" s="206" customFormat="1" ht="15" customHeight="1" x14ac:dyDescent="0.2">
      <c r="A29" s="75"/>
      <c r="B29" s="313"/>
      <c r="C29" s="16"/>
      <c r="D29" s="317">
        <v>2014</v>
      </c>
      <c r="E29" s="324"/>
      <c r="F29" s="325" t="str">
        <f>IF(Contents!$A$1=2,"1Q","1 кв")</f>
        <v>1 кв</v>
      </c>
      <c r="G29" s="325" t="str">
        <f>IF(Contents!$A$1=2,"2Q","2 кв")</f>
        <v>2 кв</v>
      </c>
      <c r="H29" s="325" t="str">
        <f>IF(Contents!$A$1=2,"3Q","3 кв")</f>
        <v>3 кв</v>
      </c>
      <c r="I29" s="325" t="str">
        <f>IF(Contents!$A$1=2,"4Q","4 кв")</f>
        <v>4 кв</v>
      </c>
      <c r="J29" s="317">
        <v>2015</v>
      </c>
      <c r="K29" s="324"/>
      <c r="L29" s="325" t="str">
        <f>IF(Contents!$A$1=2,"1Q","1 кв")</f>
        <v>1 кв</v>
      </c>
      <c r="M29" s="325" t="str">
        <f>IF(Contents!$A$1=2,"2Q","2 кв")</f>
        <v>2 кв</v>
      </c>
      <c r="N29" s="325" t="str">
        <f>IF(Contents!$A$1=2,"3Q","3 кв")</f>
        <v>3 кв</v>
      </c>
      <c r="O29" s="325" t="str">
        <f>IF(Contents!$A$1=2,"4Q","4 кв")</f>
        <v>4 кв</v>
      </c>
      <c r="P29" s="317">
        <v>2016</v>
      </c>
      <c r="Q29" s="324"/>
      <c r="R29" s="325" t="str">
        <f>IF(Contents!$A$1=2,"1Q","1 кв")</f>
        <v>1 кв</v>
      </c>
      <c r="S29" s="325" t="str">
        <f>IF(Contents!$A$1=2,"2Q","2 кв")</f>
        <v>2 кв</v>
      </c>
      <c r="T29" s="325" t="str">
        <f>IF(Contents!$A$1=2,"3Q","3 кв")</f>
        <v>3 кв</v>
      </c>
      <c r="U29" s="325" t="str">
        <f>IF(Contents!$A$1=2,"4Q","4 кв")</f>
        <v>4 кв</v>
      </c>
      <c r="V29" s="326">
        <v>2017</v>
      </c>
      <c r="W29" s="328"/>
      <c r="X29" s="325" t="str">
        <f>IF(Contents!$A$1=2,"1Q","1 кв")</f>
        <v>1 кв</v>
      </c>
      <c r="Y29" s="325" t="str">
        <f>IF(Contents!$A$1=2,"2Q","2 кв")</f>
        <v>2 кв</v>
      </c>
      <c r="Z29" s="325" t="str">
        <f>IF(Contents!$A$1=2,"3Q","3 кв")</f>
        <v>3 кв</v>
      </c>
      <c r="AA29" s="325" t="str">
        <f>IF(Contents!$A$1=2,"4Q","4 кв")</f>
        <v>4 кв</v>
      </c>
      <c r="AB29" s="326">
        <v>2018</v>
      </c>
      <c r="AC29" s="328"/>
      <c r="AD29" s="325" t="str">
        <f>IF(Contents!$A$1=2,"1Q","1 кв")</f>
        <v>1 кв</v>
      </c>
      <c r="AE29" s="325" t="str">
        <f>IF(Contents!$A$1=2,"2Q","2 кв")</f>
        <v>2 кв</v>
      </c>
      <c r="AF29" s="325" t="str">
        <f>IF(Contents!$A$1=2,"3Q","3 кв")</f>
        <v>3 кв</v>
      </c>
      <c r="AG29" s="325" t="str">
        <f>IF(Contents!$A$1=2,"4Q","4 кв")</f>
        <v>4 кв</v>
      </c>
      <c r="AH29" s="326">
        <v>2019</v>
      </c>
      <c r="AI29" s="328"/>
      <c r="AJ29" s="325" t="str">
        <f>IF(Contents!$A$1=2,"1Q","1 кв")</f>
        <v>1 кв</v>
      </c>
      <c r="AK29" s="325" t="str">
        <f>IF(Contents!$A$1=2,"2Q","2 кв")</f>
        <v>2 кв</v>
      </c>
      <c r="AL29" s="325" t="str">
        <f>IF(Contents!$A$1=2,"3Q","3 кв")</f>
        <v>3 кв</v>
      </c>
      <c r="AM29" s="325" t="str">
        <f>IF(Contents!$A$1=2,"4Q","4 кв")</f>
        <v>4 кв</v>
      </c>
      <c r="AN29" s="326">
        <v>2020</v>
      </c>
      <c r="AO29" s="328"/>
      <c r="AP29" s="325" t="str">
        <f>IF(Contents!$A$1=2,"1Q","1 кв")</f>
        <v>1 кв</v>
      </c>
      <c r="AQ29" s="325" t="str">
        <f>IF(Contents!$A$1=2,"2Q","2 кв")</f>
        <v>2 кв</v>
      </c>
      <c r="AR29" s="325" t="str">
        <f>IF(Contents!$A$1=2,"3Q","3 кв")</f>
        <v>3 кв</v>
      </c>
      <c r="AS29" s="325" t="str">
        <f>IF(Contents!$A$1=2,"4Q","4 кв")</f>
        <v>4 кв</v>
      </c>
      <c r="AT29" s="326">
        <v>2021</v>
      </c>
      <c r="AU29" s="80"/>
    </row>
    <row r="30" spans="1:47" s="206" customFormat="1" ht="15" customHeight="1" x14ac:dyDescent="0.2">
      <c r="A30" s="124" t="str">
        <f>IF(Contents!$A$1=2,"Total petrochemical products purchased","Итого закупки нефтехимии")</f>
        <v>Итого закупки нефтехимии</v>
      </c>
      <c r="B30" s="275" t="str">
        <f>IF(Contents!$A$1=2,"th. t","тыс. т")</f>
        <v>тыс. т</v>
      </c>
      <c r="C30" s="112"/>
      <c r="D30" s="467">
        <v>0</v>
      </c>
      <c r="E30" s="467"/>
      <c r="F30" s="467">
        <v>0</v>
      </c>
      <c r="G30" s="467">
        <v>0</v>
      </c>
      <c r="H30" s="467">
        <v>0</v>
      </c>
      <c r="I30" s="467">
        <v>0</v>
      </c>
      <c r="J30" s="467">
        <v>0</v>
      </c>
      <c r="K30" s="467"/>
      <c r="L30" s="467">
        <v>0</v>
      </c>
      <c r="M30" s="467">
        <v>0</v>
      </c>
      <c r="N30" s="467">
        <v>0</v>
      </c>
      <c r="O30" s="467">
        <v>0</v>
      </c>
      <c r="P30" s="467">
        <v>0</v>
      </c>
      <c r="Q30" s="467"/>
      <c r="R30" s="467">
        <v>0</v>
      </c>
      <c r="S30" s="467">
        <v>0</v>
      </c>
      <c r="T30" s="467">
        <v>0</v>
      </c>
      <c r="U30" s="467">
        <v>0</v>
      </c>
      <c r="V30" s="467">
        <v>0</v>
      </c>
      <c r="W30" s="467"/>
      <c r="X30" s="467">
        <v>154</v>
      </c>
      <c r="Y30" s="467">
        <v>141</v>
      </c>
      <c r="Z30" s="467">
        <v>117</v>
      </c>
      <c r="AA30" s="467">
        <v>205</v>
      </c>
      <c r="AB30" s="467">
        <v>617</v>
      </c>
      <c r="AC30" s="467"/>
      <c r="AD30" s="467">
        <v>375</v>
      </c>
      <c r="AE30" s="467">
        <v>297</v>
      </c>
      <c r="AF30" s="467">
        <v>224</v>
      </c>
      <c r="AG30" s="467">
        <v>192</v>
      </c>
      <c r="AH30" s="467">
        <v>1088</v>
      </c>
      <c r="AI30" s="467"/>
      <c r="AJ30" s="467">
        <v>184</v>
      </c>
      <c r="AK30" s="467">
        <v>306</v>
      </c>
      <c r="AL30" s="467">
        <v>216</v>
      </c>
      <c r="AM30" s="467">
        <v>212</v>
      </c>
      <c r="AN30" s="467">
        <v>918</v>
      </c>
      <c r="AO30" s="467"/>
      <c r="AP30" s="467">
        <v>260</v>
      </c>
      <c r="AQ30" s="467">
        <v>227</v>
      </c>
      <c r="AR30" s="467">
        <v>270</v>
      </c>
      <c r="AS30" s="467">
        <v>214</v>
      </c>
      <c r="AT30" s="467">
        <v>971</v>
      </c>
      <c r="AU30" s="80"/>
    </row>
    <row r="31" spans="1:47" s="206" customFormat="1" ht="15" customHeight="1" x14ac:dyDescent="0.2">
      <c r="A31" s="153" t="str">
        <f>IF(Contents!$A$1=2,"In Russia","В России")</f>
        <v>В России</v>
      </c>
      <c r="B31" s="280" t="str">
        <f>IF(Contents!$A$1=2,"th. t","тыс. т")</f>
        <v>тыс. т</v>
      </c>
      <c r="C31" s="141"/>
      <c r="D31" s="418">
        <v>0</v>
      </c>
      <c r="E31" s="418"/>
      <c r="F31" s="418">
        <v>0</v>
      </c>
      <c r="G31" s="418">
        <v>0</v>
      </c>
      <c r="H31" s="418">
        <v>0</v>
      </c>
      <c r="I31" s="418">
        <v>0</v>
      </c>
      <c r="J31" s="418">
        <v>0</v>
      </c>
      <c r="K31" s="418"/>
      <c r="L31" s="418">
        <v>0</v>
      </c>
      <c r="M31" s="418">
        <v>0</v>
      </c>
      <c r="N31" s="418">
        <v>0</v>
      </c>
      <c r="O31" s="418">
        <v>0</v>
      </c>
      <c r="P31" s="418">
        <v>0</v>
      </c>
      <c r="Q31" s="418"/>
      <c r="R31" s="418">
        <v>0</v>
      </c>
      <c r="S31" s="418">
        <v>0</v>
      </c>
      <c r="T31" s="418">
        <v>0</v>
      </c>
      <c r="U31" s="418">
        <v>0</v>
      </c>
      <c r="V31" s="418">
        <v>0</v>
      </c>
      <c r="W31" s="418"/>
      <c r="X31" s="418">
        <v>8</v>
      </c>
      <c r="Y31" s="418">
        <v>8</v>
      </c>
      <c r="Z31" s="418">
        <v>8</v>
      </c>
      <c r="AA31" s="418">
        <v>10</v>
      </c>
      <c r="AB31" s="418">
        <v>34</v>
      </c>
      <c r="AC31" s="418"/>
      <c r="AD31" s="418">
        <v>9</v>
      </c>
      <c r="AE31" s="418">
        <v>10</v>
      </c>
      <c r="AF31" s="418">
        <v>8</v>
      </c>
      <c r="AG31" s="418">
        <v>12</v>
      </c>
      <c r="AH31" s="418">
        <v>39</v>
      </c>
      <c r="AI31" s="418"/>
      <c r="AJ31" s="418">
        <v>40</v>
      </c>
      <c r="AK31" s="418">
        <v>25</v>
      </c>
      <c r="AL31" s="418">
        <v>36</v>
      </c>
      <c r="AM31" s="418">
        <v>34</v>
      </c>
      <c r="AN31" s="418">
        <v>135</v>
      </c>
      <c r="AO31" s="418"/>
      <c r="AP31" s="418">
        <v>41</v>
      </c>
      <c r="AQ31" s="418">
        <v>29</v>
      </c>
      <c r="AR31" s="418">
        <v>29</v>
      </c>
      <c r="AS31" s="418">
        <v>35</v>
      </c>
      <c r="AT31" s="418">
        <v>134</v>
      </c>
      <c r="AU31" s="80"/>
    </row>
    <row r="32" spans="1:47" s="206" customFormat="1" ht="15" customHeight="1" x14ac:dyDescent="0.2">
      <c r="A32" s="153" t="str">
        <f>IF(Contents!$A$1=2,"Internationally","За рубежом")</f>
        <v>За рубежом</v>
      </c>
      <c r="B32" s="280" t="str">
        <f>IF(Contents!$A$1=2,"th. t","тыс. т")</f>
        <v>тыс. т</v>
      </c>
      <c r="C32" s="141"/>
      <c r="D32" s="418">
        <v>0</v>
      </c>
      <c r="E32" s="418"/>
      <c r="F32" s="418">
        <v>0</v>
      </c>
      <c r="G32" s="418">
        <v>0</v>
      </c>
      <c r="H32" s="418">
        <v>0</v>
      </c>
      <c r="I32" s="418">
        <v>0</v>
      </c>
      <c r="J32" s="418">
        <v>0</v>
      </c>
      <c r="K32" s="418"/>
      <c r="L32" s="418">
        <v>0</v>
      </c>
      <c r="M32" s="418">
        <v>0</v>
      </c>
      <c r="N32" s="418">
        <v>0</v>
      </c>
      <c r="O32" s="418">
        <v>0</v>
      </c>
      <c r="P32" s="418">
        <v>0</v>
      </c>
      <c r="Q32" s="418"/>
      <c r="R32" s="418">
        <v>0</v>
      </c>
      <c r="S32" s="418">
        <v>0</v>
      </c>
      <c r="T32" s="418">
        <v>0</v>
      </c>
      <c r="U32" s="418">
        <v>0</v>
      </c>
      <c r="V32" s="418">
        <v>0</v>
      </c>
      <c r="W32" s="418"/>
      <c r="X32" s="418">
        <v>146</v>
      </c>
      <c r="Y32" s="418">
        <v>133</v>
      </c>
      <c r="Z32" s="418">
        <v>109</v>
      </c>
      <c r="AA32" s="418">
        <v>195</v>
      </c>
      <c r="AB32" s="418">
        <v>583</v>
      </c>
      <c r="AC32" s="418"/>
      <c r="AD32" s="418">
        <v>366</v>
      </c>
      <c r="AE32" s="418">
        <v>287</v>
      </c>
      <c r="AF32" s="418">
        <v>216</v>
      </c>
      <c r="AG32" s="418">
        <v>180</v>
      </c>
      <c r="AH32" s="418">
        <v>1049</v>
      </c>
      <c r="AI32" s="418"/>
      <c r="AJ32" s="418">
        <v>144</v>
      </c>
      <c r="AK32" s="418">
        <v>281</v>
      </c>
      <c r="AL32" s="418">
        <v>180</v>
      </c>
      <c r="AM32" s="418">
        <v>178</v>
      </c>
      <c r="AN32" s="418">
        <v>783</v>
      </c>
      <c r="AO32" s="418"/>
      <c r="AP32" s="418">
        <v>219</v>
      </c>
      <c r="AQ32" s="418">
        <v>198</v>
      </c>
      <c r="AR32" s="418">
        <v>241</v>
      </c>
      <c r="AS32" s="418">
        <v>179</v>
      </c>
      <c r="AT32" s="418">
        <v>837</v>
      </c>
      <c r="AU32" s="80"/>
    </row>
    <row r="33" spans="1:47" s="408" customFormat="1" ht="15" customHeight="1" x14ac:dyDescent="0.2">
      <c r="A33" s="411" t="str">
        <f>IF(Contents!$A$1=2,"For trading internationally","За рубжом для продажи")</f>
        <v>За рубжом для продажи</v>
      </c>
      <c r="B33" s="410" t="str">
        <f>IF(Contents!$A$1=2,"th. t","тыс. т")</f>
        <v>тыс. т</v>
      </c>
      <c r="C33" s="105"/>
      <c r="D33" s="455">
        <v>0</v>
      </c>
      <c r="E33" s="455"/>
      <c r="F33" s="455">
        <v>0</v>
      </c>
      <c r="G33" s="455">
        <v>0</v>
      </c>
      <c r="H33" s="455">
        <v>0</v>
      </c>
      <c r="I33" s="455">
        <v>0</v>
      </c>
      <c r="J33" s="455">
        <v>0</v>
      </c>
      <c r="K33" s="455"/>
      <c r="L33" s="455">
        <v>0</v>
      </c>
      <c r="M33" s="455">
        <v>0</v>
      </c>
      <c r="N33" s="455">
        <v>0</v>
      </c>
      <c r="O33" s="455">
        <v>0</v>
      </c>
      <c r="P33" s="455">
        <v>0</v>
      </c>
      <c r="Q33" s="455"/>
      <c r="R33" s="455">
        <v>0</v>
      </c>
      <c r="S33" s="455">
        <v>0</v>
      </c>
      <c r="T33" s="455">
        <v>0</v>
      </c>
      <c r="U33" s="455">
        <v>0</v>
      </c>
      <c r="V33" s="455">
        <v>0</v>
      </c>
      <c r="W33" s="455"/>
      <c r="X33" s="455">
        <v>0</v>
      </c>
      <c r="Y33" s="455">
        <v>0</v>
      </c>
      <c r="Z33" s="455">
        <v>0</v>
      </c>
      <c r="AA33" s="455">
        <v>0</v>
      </c>
      <c r="AB33" s="455">
        <v>0</v>
      </c>
      <c r="AC33" s="455"/>
      <c r="AD33" s="455">
        <v>0</v>
      </c>
      <c r="AE33" s="455">
        <v>0</v>
      </c>
      <c r="AF33" s="455">
        <v>0</v>
      </c>
      <c r="AG33" s="455">
        <v>0</v>
      </c>
      <c r="AH33" s="455">
        <v>0</v>
      </c>
      <c r="AI33" s="455"/>
      <c r="AJ33" s="454">
        <v>103</v>
      </c>
      <c r="AK33" s="454">
        <v>239</v>
      </c>
      <c r="AL33" s="454">
        <v>134</v>
      </c>
      <c r="AM33" s="454">
        <v>130</v>
      </c>
      <c r="AN33" s="454">
        <v>606</v>
      </c>
      <c r="AO33" s="455"/>
      <c r="AP33" s="454">
        <v>179</v>
      </c>
      <c r="AQ33" s="454">
        <v>153</v>
      </c>
      <c r="AR33" s="454">
        <v>196</v>
      </c>
      <c r="AS33" s="454">
        <v>134</v>
      </c>
      <c r="AT33" s="454">
        <v>662</v>
      </c>
      <c r="AU33" s="409"/>
    </row>
    <row r="34" spans="1:47" s="408" customFormat="1" ht="15" customHeight="1" x14ac:dyDescent="0.2">
      <c r="A34" s="411" t="str">
        <f>IF(Contents!$A$1=2,"For refining internationally","За рубежом для переработки")</f>
        <v>За рубежом для переработки</v>
      </c>
      <c r="B34" s="410" t="str">
        <f>IF(Contents!$A$1=2,"th. t","тыс. т")</f>
        <v>тыс. т</v>
      </c>
      <c r="C34" s="105"/>
      <c r="D34" s="455">
        <v>0</v>
      </c>
      <c r="E34" s="455"/>
      <c r="F34" s="455">
        <v>0</v>
      </c>
      <c r="G34" s="455">
        <v>0</v>
      </c>
      <c r="H34" s="455">
        <v>0</v>
      </c>
      <c r="I34" s="455">
        <v>0</v>
      </c>
      <c r="J34" s="455">
        <v>0</v>
      </c>
      <c r="K34" s="455"/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/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/>
      <c r="X34" s="455">
        <v>0</v>
      </c>
      <c r="Y34" s="455">
        <v>0</v>
      </c>
      <c r="Z34" s="455">
        <v>0</v>
      </c>
      <c r="AA34" s="455">
        <v>0</v>
      </c>
      <c r="AB34" s="455">
        <v>0</v>
      </c>
      <c r="AC34" s="455"/>
      <c r="AD34" s="455">
        <v>0</v>
      </c>
      <c r="AE34" s="455">
        <v>0</v>
      </c>
      <c r="AF34" s="455">
        <v>0</v>
      </c>
      <c r="AG34" s="455">
        <v>0</v>
      </c>
      <c r="AH34" s="455">
        <v>0</v>
      </c>
      <c r="AI34" s="455"/>
      <c r="AJ34" s="454">
        <v>41</v>
      </c>
      <c r="AK34" s="454">
        <v>42</v>
      </c>
      <c r="AL34" s="454">
        <v>46</v>
      </c>
      <c r="AM34" s="454">
        <v>48</v>
      </c>
      <c r="AN34" s="454">
        <v>177</v>
      </c>
      <c r="AO34" s="455"/>
      <c r="AP34" s="454">
        <v>40</v>
      </c>
      <c r="AQ34" s="454">
        <v>45</v>
      </c>
      <c r="AR34" s="454">
        <v>45</v>
      </c>
      <c r="AS34" s="454">
        <v>45</v>
      </c>
      <c r="AT34" s="454">
        <v>175</v>
      </c>
      <c r="AU34" s="409"/>
    </row>
    <row r="35" spans="1:47" ht="15" customHeight="1" x14ac:dyDescent="0.2">
      <c r="AU35" s="80"/>
    </row>
    <row r="36" spans="1:47" ht="15" customHeight="1" x14ac:dyDescent="0.2">
      <c r="AU36" s="80"/>
    </row>
    <row r="37" spans="1:47" ht="15" customHeight="1" x14ac:dyDescent="0.2">
      <c r="A37" s="39" t="str">
        <f>IF(Contents!$A$1=2,"Exports of crude oil and refined products","Экспорт продукции")</f>
        <v>Экспорт продукции</v>
      </c>
      <c r="AU37" s="80"/>
    </row>
    <row r="38" spans="1:47" ht="15" customHeight="1" x14ac:dyDescent="0.2">
      <c r="AU38" s="80"/>
    </row>
    <row r="39" spans="1:47" s="21" customFormat="1" ht="15" customHeight="1" x14ac:dyDescent="0.3">
      <c r="A39" s="69" t="str">
        <f>IF(Contents!$A$1=2,"Exports of crude oil and refined products from Russia","Экспорт нефти из России")</f>
        <v>Экспорт нефти из России</v>
      </c>
      <c r="B39" s="309"/>
      <c r="E39" s="223"/>
      <c r="K39" s="223"/>
      <c r="Q39" s="223"/>
      <c r="W39" s="223"/>
      <c r="AC39" s="223"/>
      <c r="AI39" s="223"/>
      <c r="AO39" s="223"/>
      <c r="AU39" s="80"/>
    </row>
    <row r="40" spans="1:47" ht="15" customHeight="1" x14ac:dyDescent="0.2">
      <c r="P40" s="19"/>
      <c r="Q40" s="233"/>
      <c r="V40" s="19"/>
      <c r="W40" s="233"/>
      <c r="AB40" s="19"/>
      <c r="AC40" s="233"/>
      <c r="AH40" s="19"/>
      <c r="AI40" s="233"/>
      <c r="AN40" s="19"/>
      <c r="AO40" s="233"/>
      <c r="AP40" s="19"/>
      <c r="AQ40" s="19"/>
      <c r="AR40" s="19"/>
      <c r="AS40" s="19"/>
      <c r="AU40" s="80"/>
    </row>
    <row r="41" spans="1:47" s="1" customFormat="1" ht="15" customHeight="1" x14ac:dyDescent="0.2">
      <c r="A41" s="75"/>
      <c r="B41" s="313"/>
      <c r="C41" s="16"/>
      <c r="D41" s="317">
        <v>2014</v>
      </c>
      <c r="E41" s="324"/>
      <c r="F41" s="325" t="str">
        <f>IF(Contents!$A$1=2,"1Q","1 кв")</f>
        <v>1 кв</v>
      </c>
      <c r="G41" s="325" t="str">
        <f>IF(Contents!$A$1=2,"2Q","2 кв")</f>
        <v>2 кв</v>
      </c>
      <c r="H41" s="325" t="str">
        <f>IF(Contents!$A$1=2,"3Q","3 кв")</f>
        <v>3 кв</v>
      </c>
      <c r="I41" s="325" t="str">
        <f>IF(Contents!$A$1=2,"4Q","4 кв")</f>
        <v>4 кв</v>
      </c>
      <c r="J41" s="317">
        <v>2015</v>
      </c>
      <c r="K41" s="324"/>
      <c r="L41" s="325" t="str">
        <f>IF(Contents!$A$1=2,"1Q","1 кв")</f>
        <v>1 кв</v>
      </c>
      <c r="M41" s="325" t="str">
        <f>IF(Contents!$A$1=2,"2Q","2 кв")</f>
        <v>2 кв</v>
      </c>
      <c r="N41" s="325" t="str">
        <f>IF(Contents!$A$1=2,"3Q","3 кв")</f>
        <v>3 кв</v>
      </c>
      <c r="O41" s="325" t="str">
        <f>IF(Contents!$A$1=2,"4Q","4 кв")</f>
        <v>4 кв</v>
      </c>
      <c r="P41" s="317">
        <v>2016</v>
      </c>
      <c r="Q41" s="324"/>
      <c r="R41" s="325" t="str">
        <f>IF(Contents!$A$1=2,"1Q","1 кв")</f>
        <v>1 кв</v>
      </c>
      <c r="S41" s="325" t="str">
        <f>IF(Contents!$A$1=2,"2Q","2 кв")</f>
        <v>2 кв</v>
      </c>
      <c r="T41" s="325" t="str">
        <f>IF(Contents!$A$1=2,"3Q","3 кв")</f>
        <v>3 кв</v>
      </c>
      <c r="U41" s="325" t="str">
        <f>IF(Contents!$A$1=2,"4Q","4 кв")</f>
        <v>4 кв</v>
      </c>
      <c r="V41" s="326">
        <v>2017</v>
      </c>
      <c r="W41" s="328"/>
      <c r="X41" s="325" t="str">
        <f>IF(Contents!$A$1=2,"1Q","1 кв")</f>
        <v>1 кв</v>
      </c>
      <c r="Y41" s="325" t="str">
        <f>IF(Contents!$A$1=2,"2Q","2 кв")</f>
        <v>2 кв</v>
      </c>
      <c r="Z41" s="325" t="str">
        <f>IF(Contents!$A$1=2,"3Q","3 кв")</f>
        <v>3 кв</v>
      </c>
      <c r="AA41" s="325" t="str">
        <f>IF(Contents!$A$1=2,"4Q","4 кв")</f>
        <v>4 кв</v>
      </c>
      <c r="AB41" s="326">
        <v>2018</v>
      </c>
      <c r="AC41" s="328"/>
      <c r="AD41" s="325" t="str">
        <f>IF(Contents!$A$1=2,"1Q","1 кв")</f>
        <v>1 кв</v>
      </c>
      <c r="AE41" s="325" t="str">
        <f>IF(Contents!$A$1=2,"2Q","2 кв")</f>
        <v>2 кв</v>
      </c>
      <c r="AF41" s="325" t="str">
        <f>IF(Contents!$A$1=2,"3Q","3 кв")</f>
        <v>3 кв</v>
      </c>
      <c r="AG41" s="325" t="str">
        <f>IF(Contents!$A$1=2,"4Q","4 кв")</f>
        <v>4 кв</v>
      </c>
      <c r="AH41" s="326">
        <v>2019</v>
      </c>
      <c r="AI41" s="328"/>
      <c r="AJ41" s="325" t="str">
        <f>IF(Contents!$A$1=2,"1Q","1 кв")</f>
        <v>1 кв</v>
      </c>
      <c r="AK41" s="325" t="str">
        <f>IF(Contents!$A$1=2,"2Q","2 кв")</f>
        <v>2 кв</v>
      </c>
      <c r="AL41" s="325" t="str">
        <f>IF(Contents!$A$1=2,"3Q","3 кв")</f>
        <v>3 кв</v>
      </c>
      <c r="AM41" s="325" t="str">
        <f>IF(Contents!$A$1=2,"4Q","4 кв")</f>
        <v>4 кв</v>
      </c>
      <c r="AN41" s="326">
        <v>2020</v>
      </c>
      <c r="AO41" s="328"/>
      <c r="AP41" s="325" t="str">
        <f>IF(Contents!$A$1=2,"1Q","1 кв")</f>
        <v>1 кв</v>
      </c>
      <c r="AQ41" s="325" t="str">
        <f>IF(Contents!$A$1=2,"2Q","2 кв")</f>
        <v>2 кв</v>
      </c>
      <c r="AR41" s="325" t="str">
        <f>IF(Contents!$A$1=2,"3Q","3 кв")</f>
        <v>3 кв</v>
      </c>
      <c r="AS41" s="325" t="str">
        <f>IF(Contents!$A$1=2,"4Q","4 кв")</f>
        <v>4 кв</v>
      </c>
      <c r="AT41" s="326">
        <v>2021</v>
      </c>
      <c r="AU41" s="80"/>
    </row>
    <row r="42" spans="1:47" s="206" customFormat="1" ht="15" customHeight="1" x14ac:dyDescent="0.2">
      <c r="A42" s="154" t="str">
        <f>IF(Contents!$A$1=2,"Total crude oil exports","Итого экспорт нефти из России")</f>
        <v>Итого экспорт нефти из России</v>
      </c>
      <c r="B42" s="374" t="str">
        <f>IF(Contents!$A$1=2,"mln RUB","млн руб.")</f>
        <v>млн руб.</v>
      </c>
      <c r="C42" s="16"/>
      <c r="D42" s="426">
        <v>715793</v>
      </c>
      <c r="E42" s="426"/>
      <c r="F42" s="426">
        <v>0</v>
      </c>
      <c r="G42" s="426">
        <v>0</v>
      </c>
      <c r="H42" s="426">
        <v>0</v>
      </c>
      <c r="I42" s="426">
        <v>0</v>
      </c>
      <c r="J42" s="426">
        <v>690949</v>
      </c>
      <c r="K42" s="426"/>
      <c r="L42" s="426">
        <v>135020</v>
      </c>
      <c r="M42" s="426">
        <v>171788</v>
      </c>
      <c r="N42" s="426">
        <v>131651</v>
      </c>
      <c r="O42" s="426">
        <v>186796</v>
      </c>
      <c r="P42" s="426">
        <v>625255</v>
      </c>
      <c r="Q42" s="426"/>
      <c r="R42" s="426">
        <v>196131</v>
      </c>
      <c r="S42" s="426">
        <v>174476</v>
      </c>
      <c r="T42" s="426">
        <v>188480</v>
      </c>
      <c r="U42" s="426">
        <v>218979</v>
      </c>
      <c r="V42" s="426">
        <v>778066</v>
      </c>
      <c r="W42" s="426"/>
      <c r="X42" s="426">
        <v>224239</v>
      </c>
      <c r="Y42" s="426">
        <v>281353</v>
      </c>
      <c r="Z42" s="426">
        <v>323075</v>
      </c>
      <c r="AA42" s="426">
        <v>276095</v>
      </c>
      <c r="AB42" s="426">
        <v>1104762</v>
      </c>
      <c r="AC42" s="426"/>
      <c r="AD42" s="426">
        <v>260657</v>
      </c>
      <c r="AE42" s="426">
        <v>288535</v>
      </c>
      <c r="AF42" s="426">
        <v>250577</v>
      </c>
      <c r="AG42" s="426">
        <v>260206</v>
      </c>
      <c r="AH42" s="426">
        <v>1059975</v>
      </c>
      <c r="AI42" s="426"/>
      <c r="AJ42" s="426">
        <v>180087</v>
      </c>
      <c r="AK42" s="426">
        <v>101087</v>
      </c>
      <c r="AL42" s="426">
        <v>151323</v>
      </c>
      <c r="AM42" s="426">
        <v>181890</v>
      </c>
      <c r="AN42" s="426">
        <v>614387</v>
      </c>
      <c r="AO42" s="426"/>
      <c r="AP42" s="426">
        <v>235754</v>
      </c>
      <c r="AQ42" s="426">
        <v>272971</v>
      </c>
      <c r="AR42" s="426">
        <v>281076</v>
      </c>
      <c r="AS42" s="426">
        <v>342822</v>
      </c>
      <c r="AT42" s="426">
        <v>1132623</v>
      </c>
      <c r="AU42" s="80"/>
    </row>
    <row r="43" spans="1:47" s="206" customFormat="1" ht="15" customHeight="1" x14ac:dyDescent="0.2">
      <c r="A43" s="153" t="str">
        <f>IF(Contents!$A$1=2,"Exports of crude oil to Customs Union","Экспорт нефти в страны Таможенного союза")</f>
        <v>Экспорт нефти в страны Таможенного союза</v>
      </c>
      <c r="B43" s="248" t="str">
        <f>IF(Contents!$A$1=2,"mln RUB","млн руб.")</f>
        <v>млн руб.</v>
      </c>
      <c r="C43" s="16"/>
      <c r="D43" s="439">
        <v>47249</v>
      </c>
      <c r="E43" s="439"/>
      <c r="F43" s="439">
        <v>0</v>
      </c>
      <c r="G43" s="439">
        <v>0</v>
      </c>
      <c r="H43" s="439">
        <v>0</v>
      </c>
      <c r="I43" s="439">
        <v>0</v>
      </c>
      <c r="J43" s="439">
        <v>56235</v>
      </c>
      <c r="K43" s="439"/>
      <c r="L43" s="439">
        <v>12410</v>
      </c>
      <c r="M43" s="439">
        <v>15563</v>
      </c>
      <c r="N43" s="439">
        <v>8436</v>
      </c>
      <c r="O43" s="439">
        <v>7708</v>
      </c>
      <c r="P43" s="439">
        <v>44117</v>
      </c>
      <c r="Q43" s="439"/>
      <c r="R43" s="439">
        <v>10673</v>
      </c>
      <c r="S43" s="439">
        <v>11938</v>
      </c>
      <c r="T43" s="439">
        <v>11699</v>
      </c>
      <c r="U43" s="439">
        <v>13707</v>
      </c>
      <c r="V43" s="439">
        <v>48017</v>
      </c>
      <c r="W43" s="439"/>
      <c r="X43" s="439">
        <v>13639</v>
      </c>
      <c r="Y43" s="439">
        <v>17074</v>
      </c>
      <c r="Z43" s="439">
        <v>17437</v>
      </c>
      <c r="AA43" s="439">
        <v>15865</v>
      </c>
      <c r="AB43" s="439">
        <v>64015</v>
      </c>
      <c r="AC43" s="439"/>
      <c r="AD43" s="439">
        <v>16234</v>
      </c>
      <c r="AE43" s="439">
        <v>15015</v>
      </c>
      <c r="AF43" s="439">
        <v>16664</v>
      </c>
      <c r="AG43" s="439">
        <v>15966</v>
      </c>
      <c r="AH43" s="439">
        <v>63879</v>
      </c>
      <c r="AI43" s="439"/>
      <c r="AJ43" s="439">
        <v>0</v>
      </c>
      <c r="AK43" s="439">
        <v>5605</v>
      </c>
      <c r="AL43" s="439">
        <v>12633</v>
      </c>
      <c r="AM43" s="439">
        <v>11675</v>
      </c>
      <c r="AN43" s="439">
        <v>29913</v>
      </c>
      <c r="AO43" s="439"/>
      <c r="AP43" s="439">
        <v>15869</v>
      </c>
      <c r="AQ43" s="439">
        <v>14815</v>
      </c>
      <c r="AR43" s="439">
        <v>18032</v>
      </c>
      <c r="AS43" s="439">
        <v>13336</v>
      </c>
      <c r="AT43" s="439">
        <v>62052</v>
      </c>
      <c r="AU43" s="80"/>
    </row>
    <row r="44" spans="1:47" s="206" customFormat="1" ht="15" customHeight="1" x14ac:dyDescent="0.2">
      <c r="A44" s="153" t="str">
        <f>IF(Contents!$A$1=2,"Exports of crude oil beyond Customs Union","Экспорт нефти за пределы Таможенного союза")</f>
        <v>Экспорт нефти за пределы Таможенного союза</v>
      </c>
      <c r="B44" s="248" t="str">
        <f>IF(Contents!$A$1=2,"mln RUB","млн руб.")</f>
        <v>млн руб.</v>
      </c>
      <c r="C44" s="16"/>
      <c r="D44" s="439">
        <v>668544</v>
      </c>
      <c r="E44" s="439"/>
      <c r="F44" s="439">
        <v>0</v>
      </c>
      <c r="G44" s="439">
        <v>0</v>
      </c>
      <c r="H44" s="439">
        <v>0</v>
      </c>
      <c r="I44" s="439">
        <v>0</v>
      </c>
      <c r="J44" s="439">
        <v>634714</v>
      </c>
      <c r="K44" s="439"/>
      <c r="L44" s="439">
        <v>122610</v>
      </c>
      <c r="M44" s="439">
        <v>156225</v>
      </c>
      <c r="N44" s="439">
        <v>123215</v>
      </c>
      <c r="O44" s="439">
        <v>179088</v>
      </c>
      <c r="P44" s="439">
        <v>581138</v>
      </c>
      <c r="Q44" s="439"/>
      <c r="R44" s="439">
        <v>185458</v>
      </c>
      <c r="S44" s="439">
        <v>162538</v>
      </c>
      <c r="T44" s="439">
        <v>176781</v>
      </c>
      <c r="U44" s="439">
        <v>205272</v>
      </c>
      <c r="V44" s="439">
        <v>730049</v>
      </c>
      <c r="W44" s="439"/>
      <c r="X44" s="439">
        <v>210600</v>
      </c>
      <c r="Y44" s="439">
        <v>264279</v>
      </c>
      <c r="Z44" s="439">
        <v>305638</v>
      </c>
      <c r="AA44" s="439">
        <v>260230</v>
      </c>
      <c r="AB44" s="439">
        <v>1040747</v>
      </c>
      <c r="AC44" s="439"/>
      <c r="AD44" s="439">
        <v>244423</v>
      </c>
      <c r="AE44" s="439">
        <v>273520</v>
      </c>
      <c r="AF44" s="439">
        <v>233913</v>
      </c>
      <c r="AG44" s="439">
        <v>244240</v>
      </c>
      <c r="AH44" s="439">
        <v>996096</v>
      </c>
      <c r="AI44" s="439"/>
      <c r="AJ44" s="439">
        <v>180087</v>
      </c>
      <c r="AK44" s="439">
        <v>95482</v>
      </c>
      <c r="AL44" s="439">
        <v>138690</v>
      </c>
      <c r="AM44" s="439">
        <v>170215</v>
      </c>
      <c r="AN44" s="439">
        <v>584474</v>
      </c>
      <c r="AO44" s="439"/>
      <c r="AP44" s="439">
        <v>219885</v>
      </c>
      <c r="AQ44" s="439">
        <v>258156</v>
      </c>
      <c r="AR44" s="439">
        <v>263044</v>
      </c>
      <c r="AS44" s="439">
        <v>329486</v>
      </c>
      <c r="AT44" s="439">
        <v>1070571</v>
      </c>
      <c r="AU44" s="80"/>
    </row>
    <row r="45" spans="1:47" s="206" customFormat="1" ht="15" customHeight="1" x14ac:dyDescent="0.2">
      <c r="A45" s="153"/>
      <c r="B45" s="373"/>
      <c r="C45" s="16"/>
      <c r="D45" s="426"/>
      <c r="E45" s="426"/>
      <c r="F45" s="426"/>
      <c r="G45" s="426"/>
      <c r="H45" s="426"/>
      <c r="I45" s="426"/>
      <c r="J45" s="426"/>
      <c r="K45" s="426"/>
      <c r="L45" s="418"/>
      <c r="M45" s="418"/>
      <c r="N45" s="418"/>
      <c r="O45" s="418"/>
      <c r="P45" s="426"/>
      <c r="Q45" s="426"/>
      <c r="R45" s="418"/>
      <c r="S45" s="418"/>
      <c r="T45" s="418"/>
      <c r="U45" s="418"/>
      <c r="V45" s="426"/>
      <c r="W45" s="426"/>
      <c r="X45" s="418"/>
      <c r="Y45" s="418"/>
      <c r="Z45" s="418"/>
      <c r="AA45" s="418"/>
      <c r="AB45" s="426"/>
      <c r="AC45" s="426"/>
      <c r="AD45" s="418"/>
      <c r="AE45" s="418"/>
      <c r="AF45" s="418"/>
      <c r="AG45" s="418"/>
      <c r="AH45" s="426"/>
      <c r="AI45" s="426"/>
      <c r="AJ45" s="418"/>
      <c r="AK45" s="418"/>
      <c r="AL45" s="418"/>
      <c r="AM45" s="418"/>
      <c r="AN45" s="418"/>
      <c r="AO45" s="418"/>
      <c r="AP45" s="418"/>
      <c r="AQ45" s="418"/>
      <c r="AR45" s="418"/>
      <c r="AS45" s="418"/>
      <c r="AT45" s="418"/>
      <c r="AU45" s="80"/>
    </row>
    <row r="46" spans="1:47" s="1" customFormat="1" ht="15" customHeight="1" x14ac:dyDescent="0.2">
      <c r="A46" s="154" t="str">
        <f>IF(Contents!$A$1=2,"Total crude oil exports","Итого экспорт нефти из России")</f>
        <v>Итого экспорт нефти из России</v>
      </c>
      <c r="B46" s="308" t="str">
        <f>IF(Contents!$A$1=2,"th. t","тыс. т")</f>
        <v>тыс. т</v>
      </c>
      <c r="C46" s="140"/>
      <c r="D46" s="426">
        <v>29833</v>
      </c>
      <c r="E46" s="426"/>
      <c r="F46" s="426">
        <v>9248</v>
      </c>
      <c r="G46" s="426">
        <v>9048</v>
      </c>
      <c r="H46" s="426">
        <v>7546</v>
      </c>
      <c r="I46" s="426">
        <v>8342</v>
      </c>
      <c r="J46" s="426">
        <v>34184</v>
      </c>
      <c r="K46" s="426"/>
      <c r="L46" s="426">
        <v>8855</v>
      </c>
      <c r="M46" s="426">
        <v>8976</v>
      </c>
      <c r="N46" s="426">
        <v>6996</v>
      </c>
      <c r="O46" s="426">
        <v>9079</v>
      </c>
      <c r="P46" s="426">
        <v>33906</v>
      </c>
      <c r="Q46" s="426"/>
      <c r="R46" s="426">
        <v>9405</v>
      </c>
      <c r="S46" s="426">
        <v>9250</v>
      </c>
      <c r="T46" s="426">
        <v>9054</v>
      </c>
      <c r="U46" s="426">
        <v>8877</v>
      </c>
      <c r="V46" s="426">
        <v>36586</v>
      </c>
      <c r="W46" s="426"/>
      <c r="X46" s="426">
        <v>8675</v>
      </c>
      <c r="Y46" s="426">
        <v>8982</v>
      </c>
      <c r="Z46" s="426">
        <v>9593</v>
      </c>
      <c r="AA46" s="426">
        <v>9451</v>
      </c>
      <c r="AB46" s="426">
        <v>36701</v>
      </c>
      <c r="AC46" s="426"/>
      <c r="AD46" s="426">
        <v>8988</v>
      </c>
      <c r="AE46" s="426">
        <v>9439</v>
      </c>
      <c r="AF46" s="426">
        <v>9204</v>
      </c>
      <c r="AG46" s="426">
        <v>9463</v>
      </c>
      <c r="AH46" s="426">
        <v>37094</v>
      </c>
      <c r="AI46" s="426"/>
      <c r="AJ46" s="426">
        <v>9082</v>
      </c>
      <c r="AK46" s="426">
        <v>8207</v>
      </c>
      <c r="AL46" s="426">
        <v>6785</v>
      </c>
      <c r="AM46" s="426">
        <v>8035</v>
      </c>
      <c r="AN46" s="426">
        <v>32109</v>
      </c>
      <c r="AO46" s="426"/>
      <c r="AP46" s="426">
        <v>7353</v>
      </c>
      <c r="AQ46" s="426">
        <v>7706</v>
      </c>
      <c r="AR46" s="426">
        <v>7485</v>
      </c>
      <c r="AS46" s="426">
        <v>8453</v>
      </c>
      <c r="AT46" s="426">
        <v>30997</v>
      </c>
      <c r="AU46" s="80"/>
    </row>
    <row r="47" spans="1:47" s="1" customFormat="1" ht="15" customHeight="1" x14ac:dyDescent="0.2">
      <c r="A47" s="153" t="str">
        <f>IF(Contents!$A$1=2,"Exports of crude oil to Customs Union","Экспорт нефти в страны Таможенного союза")</f>
        <v>Экспорт нефти в страны Таможенного союза</v>
      </c>
      <c r="B47" s="280" t="str">
        <f>IF(Contents!$A$1=2,"th. t","тыс. т")</f>
        <v>тыс. т</v>
      </c>
      <c r="C47" s="141"/>
      <c r="D47" s="439">
        <v>3809</v>
      </c>
      <c r="E47" s="439"/>
      <c r="F47" s="439">
        <v>976</v>
      </c>
      <c r="G47" s="439">
        <v>959</v>
      </c>
      <c r="H47" s="439">
        <v>957</v>
      </c>
      <c r="I47" s="439">
        <v>960</v>
      </c>
      <c r="J47" s="439">
        <v>3852</v>
      </c>
      <c r="K47" s="439"/>
      <c r="L47" s="439">
        <v>982</v>
      </c>
      <c r="M47" s="439">
        <v>972</v>
      </c>
      <c r="N47" s="439">
        <v>582</v>
      </c>
      <c r="O47" s="439">
        <v>471</v>
      </c>
      <c r="P47" s="439">
        <v>3007</v>
      </c>
      <c r="Q47" s="439"/>
      <c r="R47" s="439">
        <v>635</v>
      </c>
      <c r="S47" s="439">
        <v>794</v>
      </c>
      <c r="T47" s="439">
        <v>695</v>
      </c>
      <c r="U47" s="439">
        <v>683</v>
      </c>
      <c r="V47" s="439">
        <v>2807</v>
      </c>
      <c r="W47" s="439"/>
      <c r="X47" s="439">
        <v>683</v>
      </c>
      <c r="Y47" s="439">
        <v>687</v>
      </c>
      <c r="Z47" s="439">
        <v>674</v>
      </c>
      <c r="AA47" s="439">
        <v>701</v>
      </c>
      <c r="AB47" s="439">
        <v>2745</v>
      </c>
      <c r="AC47" s="439"/>
      <c r="AD47" s="439">
        <v>674</v>
      </c>
      <c r="AE47" s="439">
        <v>603</v>
      </c>
      <c r="AF47" s="439">
        <v>747</v>
      </c>
      <c r="AG47" s="439">
        <v>692</v>
      </c>
      <c r="AH47" s="439">
        <v>2716</v>
      </c>
      <c r="AI47" s="439"/>
      <c r="AJ47" s="439">
        <v>0</v>
      </c>
      <c r="AK47" s="439">
        <v>451</v>
      </c>
      <c r="AL47" s="439">
        <v>664</v>
      </c>
      <c r="AM47" s="439">
        <v>664</v>
      </c>
      <c r="AN47" s="439">
        <v>1779</v>
      </c>
      <c r="AO47" s="439"/>
      <c r="AP47" s="439">
        <v>568</v>
      </c>
      <c r="AQ47" s="439">
        <v>486</v>
      </c>
      <c r="AR47" s="439">
        <v>559</v>
      </c>
      <c r="AS47" s="439">
        <v>375</v>
      </c>
      <c r="AT47" s="439">
        <v>1988</v>
      </c>
      <c r="AU47" s="80"/>
    </row>
    <row r="48" spans="1:47" s="1" customFormat="1" ht="15" customHeight="1" x14ac:dyDescent="0.2">
      <c r="A48" s="153" t="str">
        <f>IF(Contents!$A$1=2,"Exports of crude oil beyond Customs Union","Экспорт нефти за пределы Таможенного союза")</f>
        <v>Экспорт нефти за пределы Таможенного союза</v>
      </c>
      <c r="B48" s="280" t="str">
        <f>IF(Contents!$A$1=2,"th. t","тыс. т")</f>
        <v>тыс. т</v>
      </c>
      <c r="C48" s="141"/>
      <c r="D48" s="439">
        <v>26024</v>
      </c>
      <c r="E48" s="439"/>
      <c r="F48" s="439">
        <v>8272</v>
      </c>
      <c r="G48" s="439">
        <v>8089</v>
      </c>
      <c r="H48" s="439">
        <v>6589</v>
      </c>
      <c r="I48" s="439">
        <v>7382</v>
      </c>
      <c r="J48" s="439">
        <v>30332</v>
      </c>
      <c r="K48" s="439"/>
      <c r="L48" s="439">
        <v>7873</v>
      </c>
      <c r="M48" s="439">
        <v>8004</v>
      </c>
      <c r="N48" s="439">
        <v>6414</v>
      </c>
      <c r="O48" s="439">
        <v>8608</v>
      </c>
      <c r="P48" s="439">
        <v>30899</v>
      </c>
      <c r="Q48" s="439"/>
      <c r="R48" s="439">
        <v>8770</v>
      </c>
      <c r="S48" s="439">
        <v>8456</v>
      </c>
      <c r="T48" s="439">
        <v>8359</v>
      </c>
      <c r="U48" s="439">
        <v>8194</v>
      </c>
      <c r="V48" s="439">
        <v>33779</v>
      </c>
      <c r="W48" s="439"/>
      <c r="X48" s="439">
        <v>7992</v>
      </c>
      <c r="Y48" s="439">
        <v>8295</v>
      </c>
      <c r="Z48" s="439">
        <v>8919</v>
      </c>
      <c r="AA48" s="439">
        <v>8750</v>
      </c>
      <c r="AB48" s="439">
        <v>33956</v>
      </c>
      <c r="AC48" s="439"/>
      <c r="AD48" s="439">
        <v>8314</v>
      </c>
      <c r="AE48" s="439">
        <v>8836</v>
      </c>
      <c r="AF48" s="439">
        <v>8457</v>
      </c>
      <c r="AG48" s="439">
        <v>8771</v>
      </c>
      <c r="AH48" s="439">
        <v>34378</v>
      </c>
      <c r="AI48" s="439"/>
      <c r="AJ48" s="439">
        <v>9082</v>
      </c>
      <c r="AK48" s="439">
        <v>7756</v>
      </c>
      <c r="AL48" s="439">
        <v>6121</v>
      </c>
      <c r="AM48" s="439">
        <v>7371</v>
      </c>
      <c r="AN48" s="439">
        <v>30330</v>
      </c>
      <c r="AO48" s="439"/>
      <c r="AP48" s="439">
        <v>6785</v>
      </c>
      <c r="AQ48" s="439">
        <v>7220</v>
      </c>
      <c r="AR48" s="439">
        <v>6926</v>
      </c>
      <c r="AS48" s="439">
        <v>8078</v>
      </c>
      <c r="AT48" s="439">
        <v>29009</v>
      </c>
      <c r="AU48" s="80"/>
    </row>
    <row r="49" spans="1:47" ht="15" customHeight="1" x14ac:dyDescent="0.2">
      <c r="D49" s="504"/>
      <c r="E49" s="505"/>
      <c r="F49" s="504"/>
      <c r="G49" s="504"/>
      <c r="H49" s="504"/>
      <c r="I49" s="504"/>
      <c r="J49" s="504"/>
      <c r="K49" s="505"/>
      <c r="L49" s="504"/>
      <c r="M49" s="504"/>
      <c r="N49" s="504"/>
      <c r="O49" s="504"/>
      <c r="P49" s="504"/>
      <c r="Q49" s="505"/>
      <c r="R49" s="504"/>
      <c r="S49" s="504"/>
      <c r="T49" s="504"/>
      <c r="U49" s="504"/>
      <c r="V49" s="504"/>
      <c r="W49" s="505"/>
      <c r="X49" s="504"/>
      <c r="Y49" s="504"/>
      <c r="Z49" s="504"/>
      <c r="AA49" s="504"/>
      <c r="AB49" s="504"/>
      <c r="AC49" s="505"/>
      <c r="AD49" s="504"/>
      <c r="AE49" s="504"/>
      <c r="AF49" s="504"/>
      <c r="AG49" s="504"/>
      <c r="AH49" s="504"/>
      <c r="AI49" s="505"/>
      <c r="AJ49" s="504"/>
      <c r="AK49" s="504"/>
      <c r="AL49" s="504"/>
      <c r="AM49" s="504"/>
      <c r="AN49" s="504"/>
      <c r="AO49" s="505"/>
      <c r="AP49" s="504"/>
      <c r="AQ49" s="504"/>
      <c r="AR49" s="504"/>
      <c r="AS49" s="504"/>
      <c r="AT49" s="504"/>
      <c r="AU49" s="80"/>
    </row>
    <row r="50" spans="1:47" s="203" customFormat="1" ht="15" customHeight="1" x14ac:dyDescent="0.25">
      <c r="A50" s="154" t="str">
        <f>IF(Contents!$A$1=2,"Total crude oil exports","Итого экспорт нефти из России ")</f>
        <v xml:space="preserve">Итого экспорт нефти из России </v>
      </c>
      <c r="B50" s="308" t="str">
        <f>IF(Contents!$A$1=2,"th. t","тыс. т")</f>
        <v>тыс. т</v>
      </c>
      <c r="D50" s="434">
        <v>29833</v>
      </c>
      <c r="E50" s="521"/>
      <c r="F50" s="434">
        <v>0</v>
      </c>
      <c r="G50" s="434">
        <v>0</v>
      </c>
      <c r="H50" s="434">
        <v>0</v>
      </c>
      <c r="I50" s="434">
        <v>0</v>
      </c>
      <c r="J50" s="434">
        <v>34184</v>
      </c>
      <c r="K50" s="521"/>
      <c r="L50" s="434">
        <v>8855</v>
      </c>
      <c r="M50" s="434">
        <v>8976</v>
      </c>
      <c r="N50" s="434">
        <v>6996</v>
      </c>
      <c r="O50" s="434">
        <v>9079</v>
      </c>
      <c r="P50" s="434">
        <v>33906</v>
      </c>
      <c r="Q50" s="521"/>
      <c r="R50" s="434">
        <v>9405</v>
      </c>
      <c r="S50" s="434">
        <v>9250</v>
      </c>
      <c r="T50" s="434">
        <v>9054</v>
      </c>
      <c r="U50" s="434">
        <v>8877</v>
      </c>
      <c r="V50" s="434">
        <v>36586</v>
      </c>
      <c r="W50" s="521"/>
      <c r="X50" s="434">
        <v>8675</v>
      </c>
      <c r="Y50" s="434">
        <v>8982</v>
      </c>
      <c r="Z50" s="434">
        <v>9593</v>
      </c>
      <c r="AA50" s="434">
        <v>9451</v>
      </c>
      <c r="AB50" s="434">
        <v>36701</v>
      </c>
      <c r="AC50" s="521"/>
      <c r="AD50" s="434">
        <v>8988</v>
      </c>
      <c r="AE50" s="434">
        <v>9439</v>
      </c>
      <c r="AF50" s="434">
        <v>9204</v>
      </c>
      <c r="AG50" s="434">
        <v>9463</v>
      </c>
      <c r="AH50" s="434">
        <v>37094</v>
      </c>
      <c r="AI50" s="521"/>
      <c r="AJ50" s="434">
        <v>9082</v>
      </c>
      <c r="AK50" s="434">
        <v>8207</v>
      </c>
      <c r="AL50" s="434">
        <v>6785</v>
      </c>
      <c r="AM50" s="434">
        <v>8035</v>
      </c>
      <c r="AN50" s="434">
        <v>32109</v>
      </c>
      <c r="AO50" s="434"/>
      <c r="AP50" s="434">
        <v>7353</v>
      </c>
      <c r="AQ50" s="434">
        <v>7706</v>
      </c>
      <c r="AR50" s="434">
        <v>7485</v>
      </c>
      <c r="AS50" s="434">
        <v>8453</v>
      </c>
      <c r="AT50" s="434">
        <v>30997</v>
      </c>
      <c r="AU50" s="378"/>
    </row>
    <row r="51" spans="1:47" ht="15" customHeight="1" x14ac:dyDescent="0.2">
      <c r="A51" s="375" t="str">
        <f>IF(Contents!$A$1=2,"Exports of crude oil through Transneft and other third party infrastructure including:","Экспорт нефти через Транснефть и иную стороннюю инфраструктуру:")</f>
        <v>Экспорт нефти через Транснефть и иную стороннюю инфраструктуру:</v>
      </c>
      <c r="B51" s="280" t="str">
        <f>IF(Contents!$A$1=2,"th. t","тыс. т")</f>
        <v>тыс. т</v>
      </c>
      <c r="D51" s="439">
        <v>24216</v>
      </c>
      <c r="E51" s="505"/>
      <c r="F51" s="439">
        <v>0</v>
      </c>
      <c r="G51" s="439">
        <v>0</v>
      </c>
      <c r="H51" s="439">
        <v>0</v>
      </c>
      <c r="I51" s="439">
        <v>0</v>
      </c>
      <c r="J51" s="439">
        <v>26585</v>
      </c>
      <c r="K51" s="505"/>
      <c r="L51" s="439">
        <v>6942</v>
      </c>
      <c r="M51" s="439">
        <v>6798</v>
      </c>
      <c r="N51" s="439">
        <v>4970</v>
      </c>
      <c r="O51" s="439">
        <v>7155</v>
      </c>
      <c r="P51" s="439">
        <v>25865</v>
      </c>
      <c r="Q51" s="505"/>
      <c r="R51" s="439">
        <v>7100</v>
      </c>
      <c r="S51" s="439">
        <v>6934</v>
      </c>
      <c r="T51" s="439">
        <v>6699</v>
      </c>
      <c r="U51" s="439">
        <v>6596</v>
      </c>
      <c r="V51" s="439">
        <v>27329</v>
      </c>
      <c r="W51" s="505"/>
      <c r="X51" s="439">
        <v>6466</v>
      </c>
      <c r="Y51" s="439">
        <v>7017</v>
      </c>
      <c r="Z51" s="439">
        <v>7287</v>
      </c>
      <c r="AA51" s="439">
        <v>7176</v>
      </c>
      <c r="AB51" s="439">
        <v>27946</v>
      </c>
      <c r="AC51" s="505"/>
      <c r="AD51" s="439">
        <v>6764</v>
      </c>
      <c r="AE51" s="439">
        <v>7220</v>
      </c>
      <c r="AF51" s="439">
        <v>7011</v>
      </c>
      <c r="AG51" s="439">
        <v>7279</v>
      </c>
      <c r="AH51" s="439">
        <v>28274</v>
      </c>
      <c r="AI51" s="505"/>
      <c r="AJ51" s="439">
        <v>6813</v>
      </c>
      <c r="AK51" s="439">
        <v>6798</v>
      </c>
      <c r="AL51" s="439">
        <v>5208</v>
      </c>
      <c r="AM51" s="439">
        <v>6677</v>
      </c>
      <c r="AN51" s="439">
        <v>25496</v>
      </c>
      <c r="AO51" s="439"/>
      <c r="AP51" s="439">
        <v>5868</v>
      </c>
      <c r="AQ51" s="439">
        <v>6391</v>
      </c>
      <c r="AR51" s="439">
        <v>6135</v>
      </c>
      <c r="AS51" s="439">
        <v>7158</v>
      </c>
      <c r="AT51" s="439">
        <v>25552</v>
      </c>
      <c r="AU51" s="80"/>
    </row>
    <row r="52" spans="1:47" ht="15" customHeight="1" x14ac:dyDescent="0.2">
      <c r="A52" s="376" t="str">
        <f>IF(Contents!$A$1=2,"ESPO pipeline","нефтепровод ВСТО")</f>
        <v>нефтепровод ВСТО</v>
      </c>
      <c r="B52" s="280" t="str">
        <f>IF(Contents!$A$1=2,"th. t","тыс. т")</f>
        <v>тыс. т</v>
      </c>
      <c r="D52" s="439">
        <v>1499</v>
      </c>
      <c r="E52" s="505"/>
      <c r="F52" s="439">
        <v>0</v>
      </c>
      <c r="G52" s="439">
        <v>0</v>
      </c>
      <c r="H52" s="439">
        <v>0</v>
      </c>
      <c r="I52" s="439">
        <v>0</v>
      </c>
      <c r="J52" s="439">
        <v>1519</v>
      </c>
      <c r="K52" s="505"/>
      <c r="L52" s="439">
        <v>300</v>
      </c>
      <c r="M52" s="439">
        <v>300</v>
      </c>
      <c r="N52" s="439">
        <v>309</v>
      </c>
      <c r="O52" s="439">
        <v>306</v>
      </c>
      <c r="P52" s="439">
        <v>1215</v>
      </c>
      <c r="Q52" s="505"/>
      <c r="R52" s="439">
        <v>240</v>
      </c>
      <c r="S52" s="439">
        <v>300</v>
      </c>
      <c r="T52" s="439">
        <v>300</v>
      </c>
      <c r="U52" s="439">
        <v>300</v>
      </c>
      <c r="V52" s="439">
        <v>1140</v>
      </c>
      <c r="W52" s="505"/>
      <c r="X52" s="439">
        <v>300</v>
      </c>
      <c r="Y52" s="439">
        <v>300</v>
      </c>
      <c r="Z52" s="439">
        <v>300</v>
      </c>
      <c r="AA52" s="439">
        <v>340</v>
      </c>
      <c r="AB52" s="439">
        <v>1240</v>
      </c>
      <c r="AC52" s="505"/>
      <c r="AD52" s="439">
        <v>379</v>
      </c>
      <c r="AE52" s="439">
        <v>580</v>
      </c>
      <c r="AF52" s="439">
        <v>299</v>
      </c>
      <c r="AG52" s="439">
        <v>480</v>
      </c>
      <c r="AH52" s="439">
        <v>1738</v>
      </c>
      <c r="AI52" s="505"/>
      <c r="AJ52" s="439">
        <v>240</v>
      </c>
      <c r="AK52" s="439">
        <v>300</v>
      </c>
      <c r="AL52" s="439">
        <v>599</v>
      </c>
      <c r="AM52" s="439">
        <v>600</v>
      </c>
      <c r="AN52" s="439">
        <v>1739</v>
      </c>
      <c r="AO52" s="439"/>
      <c r="AP52" s="439">
        <v>680</v>
      </c>
      <c r="AQ52" s="439">
        <v>878</v>
      </c>
      <c r="AR52" s="439">
        <v>600</v>
      </c>
      <c r="AS52" s="439">
        <v>699</v>
      </c>
      <c r="AT52" s="439">
        <v>2857</v>
      </c>
      <c r="AU52" s="80"/>
    </row>
    <row r="53" spans="1:47" ht="15" customHeight="1" x14ac:dyDescent="0.2">
      <c r="A53" s="376" t="str">
        <f>IF(Contents!$A$1=2,"CPC pipeline","нефтепровод КТК")</f>
        <v>нефтепровод КТК</v>
      </c>
      <c r="B53" s="280" t="str">
        <f>IF(Contents!$A$1=2,"th. t","тыс. т")</f>
        <v>тыс. т</v>
      </c>
      <c r="D53" s="439">
        <v>0</v>
      </c>
      <c r="E53" s="505"/>
      <c r="F53" s="439">
        <v>0</v>
      </c>
      <c r="G53" s="439">
        <v>0</v>
      </c>
      <c r="H53" s="439">
        <v>0</v>
      </c>
      <c r="I53" s="439">
        <v>0</v>
      </c>
      <c r="J53" s="439">
        <v>0</v>
      </c>
      <c r="K53" s="505"/>
      <c r="L53" s="439">
        <v>0</v>
      </c>
      <c r="M53" s="439">
        <v>0</v>
      </c>
      <c r="N53" s="439">
        <v>0</v>
      </c>
      <c r="O53" s="439">
        <v>745</v>
      </c>
      <c r="P53" s="439">
        <v>745</v>
      </c>
      <c r="Q53" s="505"/>
      <c r="R53" s="439">
        <v>0</v>
      </c>
      <c r="S53" s="439">
        <v>0</v>
      </c>
      <c r="T53" s="439">
        <v>0</v>
      </c>
      <c r="U53" s="439">
        <v>0</v>
      </c>
      <c r="V53" s="439">
        <v>3467</v>
      </c>
      <c r="W53" s="505"/>
      <c r="X53" s="439">
        <v>1055</v>
      </c>
      <c r="Y53" s="439">
        <v>1144</v>
      </c>
      <c r="Z53" s="439">
        <v>1240</v>
      </c>
      <c r="AA53" s="439">
        <v>1344</v>
      </c>
      <c r="AB53" s="439">
        <v>4783</v>
      </c>
      <c r="AC53" s="505"/>
      <c r="AD53" s="439">
        <v>1303</v>
      </c>
      <c r="AE53" s="439">
        <v>1326</v>
      </c>
      <c r="AF53" s="439">
        <v>1239</v>
      </c>
      <c r="AG53" s="439">
        <v>1413</v>
      </c>
      <c r="AH53" s="439">
        <v>5281</v>
      </c>
      <c r="AI53" s="505"/>
      <c r="AJ53" s="439">
        <v>1252</v>
      </c>
      <c r="AK53" s="439">
        <v>1322</v>
      </c>
      <c r="AL53" s="439">
        <v>1341</v>
      </c>
      <c r="AM53" s="439">
        <v>1402</v>
      </c>
      <c r="AN53" s="439">
        <v>5317</v>
      </c>
      <c r="AO53" s="439"/>
      <c r="AP53" s="439">
        <v>1394</v>
      </c>
      <c r="AQ53" s="439">
        <v>1497</v>
      </c>
      <c r="AR53" s="439">
        <v>1537</v>
      </c>
      <c r="AS53" s="439">
        <v>1461</v>
      </c>
      <c r="AT53" s="439">
        <v>5889</v>
      </c>
      <c r="AU53" s="80"/>
    </row>
    <row r="54" spans="1:47" ht="15" customHeight="1" x14ac:dyDescent="0.2">
      <c r="A54" s="375" t="str">
        <f>IF(Contents!$A$1=2,"Exports of crude oil through the Group’s transportation infrastructure","Экспорт нефти через собственную инфраструктуру")</f>
        <v>Экспорт нефти через собственную инфраструктуру</v>
      </c>
      <c r="B54" s="280" t="str">
        <f>IF(Contents!$A$1=2,"th. t","тыс. т")</f>
        <v>тыс. т</v>
      </c>
      <c r="D54" s="439">
        <v>5617</v>
      </c>
      <c r="E54" s="505"/>
      <c r="F54" s="439">
        <v>0</v>
      </c>
      <c r="G54" s="439">
        <v>0</v>
      </c>
      <c r="H54" s="439">
        <v>0</v>
      </c>
      <c r="I54" s="439">
        <v>0</v>
      </c>
      <c r="J54" s="439">
        <v>7599</v>
      </c>
      <c r="K54" s="505"/>
      <c r="L54" s="439">
        <v>1913</v>
      </c>
      <c r="M54" s="439">
        <v>2178</v>
      </c>
      <c r="N54" s="439">
        <v>2026</v>
      </c>
      <c r="O54" s="439">
        <v>1924</v>
      </c>
      <c r="P54" s="439">
        <v>8041</v>
      </c>
      <c r="Q54" s="505"/>
      <c r="R54" s="439">
        <v>2305</v>
      </c>
      <c r="S54" s="439">
        <v>2316</v>
      </c>
      <c r="T54" s="439">
        <v>2355</v>
      </c>
      <c r="U54" s="439">
        <v>2281</v>
      </c>
      <c r="V54" s="439">
        <v>9257</v>
      </c>
      <c r="W54" s="505"/>
      <c r="X54" s="439">
        <v>2209</v>
      </c>
      <c r="Y54" s="439">
        <v>1965</v>
      </c>
      <c r="Z54" s="439">
        <v>2306</v>
      </c>
      <c r="AA54" s="439">
        <v>2275</v>
      </c>
      <c r="AB54" s="439">
        <v>8755</v>
      </c>
      <c r="AC54" s="505"/>
      <c r="AD54" s="439">
        <v>2224</v>
      </c>
      <c r="AE54" s="439">
        <v>2219</v>
      </c>
      <c r="AF54" s="439">
        <v>2193</v>
      </c>
      <c r="AG54" s="439">
        <v>2184</v>
      </c>
      <c r="AH54" s="439">
        <v>8820</v>
      </c>
      <c r="AI54" s="505"/>
      <c r="AJ54" s="439">
        <v>2269</v>
      </c>
      <c r="AK54" s="439">
        <v>1409</v>
      </c>
      <c r="AL54" s="439">
        <v>1577</v>
      </c>
      <c r="AM54" s="439">
        <v>1358</v>
      </c>
      <c r="AN54" s="439">
        <v>6613</v>
      </c>
      <c r="AO54" s="439"/>
      <c r="AP54" s="439">
        <v>1485</v>
      </c>
      <c r="AQ54" s="439">
        <v>1315</v>
      </c>
      <c r="AR54" s="439">
        <v>1350</v>
      </c>
      <c r="AS54" s="439">
        <v>1295</v>
      </c>
      <c r="AT54" s="439">
        <v>5445</v>
      </c>
      <c r="AU54" s="80"/>
    </row>
    <row r="55" spans="1:47" ht="15" customHeight="1" x14ac:dyDescent="0.2">
      <c r="AU55" s="80"/>
    </row>
    <row r="56" spans="1:47" s="5" customFormat="1" ht="15" customHeight="1" x14ac:dyDescent="0.2">
      <c r="A56" s="9"/>
      <c r="B56" s="312"/>
      <c r="C56" s="7"/>
      <c r="D56" s="12"/>
      <c r="E56" s="15"/>
      <c r="F56" s="14"/>
      <c r="G56" s="14"/>
      <c r="H56" s="36"/>
      <c r="I56" s="36"/>
      <c r="J56" s="12"/>
      <c r="K56" s="15"/>
      <c r="L56" s="14"/>
      <c r="M56" s="14"/>
      <c r="N56" s="36"/>
      <c r="O56" s="36"/>
      <c r="P56" s="36"/>
      <c r="Q56" s="36"/>
      <c r="R56" s="14"/>
      <c r="S56" s="14"/>
      <c r="T56" s="36"/>
      <c r="U56" s="36"/>
      <c r="V56" s="36"/>
      <c r="W56" s="36"/>
      <c r="X56" s="14"/>
      <c r="Y56" s="14"/>
      <c r="Z56" s="36"/>
      <c r="AA56" s="36"/>
      <c r="AB56" s="36"/>
      <c r="AC56" s="36"/>
      <c r="AD56" s="14"/>
      <c r="AE56" s="14"/>
      <c r="AF56" s="36"/>
      <c r="AG56" s="36"/>
      <c r="AH56" s="36"/>
      <c r="AI56" s="36"/>
      <c r="AJ56" s="14"/>
      <c r="AK56" s="14"/>
      <c r="AL56" s="36"/>
      <c r="AM56" s="36"/>
      <c r="AN56" s="36"/>
      <c r="AO56" s="36"/>
      <c r="AP56" s="36"/>
      <c r="AQ56" s="36"/>
      <c r="AR56" s="36"/>
      <c r="AS56" s="36"/>
      <c r="AU56" s="80"/>
    </row>
    <row r="57" spans="1:47" s="5" customFormat="1" ht="15" customHeight="1" x14ac:dyDescent="0.2">
      <c r="A57" s="69" t="str">
        <f>IF(Contents!$A$1=2,"Exports of refined products","Экспорт нефтепродуктов из России")</f>
        <v>Экспорт нефтепродуктов из России</v>
      </c>
      <c r="B57" s="312"/>
      <c r="C57" s="7"/>
      <c r="D57" s="12"/>
      <c r="E57" s="15"/>
      <c r="F57" s="14"/>
      <c r="G57" s="14"/>
      <c r="H57" s="36"/>
      <c r="I57" s="36"/>
      <c r="J57" s="12"/>
      <c r="K57" s="15"/>
      <c r="L57" s="14"/>
      <c r="M57" s="14"/>
      <c r="N57" s="36"/>
      <c r="O57" s="36"/>
      <c r="P57" s="36"/>
      <c r="Q57" s="36"/>
      <c r="R57" s="14"/>
      <c r="S57" s="14"/>
      <c r="T57" s="36"/>
      <c r="U57" s="36"/>
      <c r="V57" s="36"/>
      <c r="W57" s="36"/>
      <c r="X57" s="14"/>
      <c r="Y57" s="14"/>
      <c r="Z57" s="36"/>
      <c r="AA57" s="36"/>
      <c r="AB57" s="36"/>
      <c r="AC57" s="36"/>
      <c r="AD57" s="14"/>
      <c r="AE57" s="14"/>
      <c r="AF57" s="36"/>
      <c r="AG57" s="36"/>
      <c r="AH57" s="36"/>
      <c r="AI57" s="36"/>
      <c r="AJ57" s="14"/>
      <c r="AK57" s="14"/>
      <c r="AL57" s="36"/>
      <c r="AM57" s="36"/>
      <c r="AN57" s="36"/>
      <c r="AO57" s="36"/>
      <c r="AP57" s="36"/>
      <c r="AQ57" s="36"/>
      <c r="AR57" s="36"/>
      <c r="AS57" s="36"/>
      <c r="AU57" s="80"/>
    </row>
    <row r="58" spans="1:47" ht="15" customHeight="1" x14ac:dyDescent="0.2">
      <c r="AU58" s="80"/>
    </row>
    <row r="59" spans="1:47" s="1" customFormat="1" ht="15" customHeight="1" x14ac:dyDescent="0.2">
      <c r="A59" s="75"/>
      <c r="B59" s="313"/>
      <c r="C59" s="16"/>
      <c r="D59" s="317">
        <v>2014</v>
      </c>
      <c r="E59" s="324"/>
      <c r="F59" s="325" t="str">
        <f>IF(Contents!$A$1=2,"1Q","1 кв")</f>
        <v>1 кв</v>
      </c>
      <c r="G59" s="325" t="str">
        <f>IF(Contents!$A$1=2,"2Q","2 кв")</f>
        <v>2 кв</v>
      </c>
      <c r="H59" s="325" t="str">
        <f>IF(Contents!$A$1=2,"3Q","3 кв")</f>
        <v>3 кв</v>
      </c>
      <c r="I59" s="325" t="str">
        <f>IF(Contents!$A$1=2,"4Q","4 кв")</f>
        <v>4 кв</v>
      </c>
      <c r="J59" s="317">
        <v>2015</v>
      </c>
      <c r="K59" s="324"/>
      <c r="L59" s="325" t="str">
        <f>IF(Contents!$A$1=2,"1Q","1 кв")</f>
        <v>1 кв</v>
      </c>
      <c r="M59" s="325" t="str">
        <f>IF(Contents!$A$1=2,"2Q","2 кв")</f>
        <v>2 кв</v>
      </c>
      <c r="N59" s="325" t="str">
        <f>IF(Contents!$A$1=2,"3Q","3 кв")</f>
        <v>3 кв</v>
      </c>
      <c r="O59" s="325" t="str">
        <f>IF(Contents!$A$1=2,"4Q","4 кв")</f>
        <v>4 кв</v>
      </c>
      <c r="P59" s="317">
        <v>2016</v>
      </c>
      <c r="Q59" s="324"/>
      <c r="R59" s="325" t="str">
        <f>IF(Contents!$A$1=2,"1Q","1 кв")</f>
        <v>1 кв</v>
      </c>
      <c r="S59" s="325" t="str">
        <f>IF(Contents!$A$1=2,"2Q","2 кв")</f>
        <v>2 кв</v>
      </c>
      <c r="T59" s="325" t="str">
        <f>IF(Contents!$A$1=2,"3Q","3 кв")</f>
        <v>3 кв</v>
      </c>
      <c r="U59" s="325" t="str">
        <f>IF(Contents!$A$1=2,"4Q","4 кв")</f>
        <v>4 кв</v>
      </c>
      <c r="V59" s="326">
        <v>2017</v>
      </c>
      <c r="W59" s="328"/>
      <c r="X59" s="325" t="str">
        <f>IF(Contents!$A$1=2,"1Q","1 кв")</f>
        <v>1 кв</v>
      </c>
      <c r="Y59" s="325" t="str">
        <f>IF(Contents!$A$1=2,"2Q","2 кв")</f>
        <v>2 кв</v>
      </c>
      <c r="Z59" s="325" t="str">
        <f>IF(Contents!$A$1=2,"3Q","3 кв")</f>
        <v>3 кв</v>
      </c>
      <c r="AA59" s="325" t="str">
        <f>IF(Contents!$A$1=2,"4Q","4 кв")</f>
        <v>4 кв</v>
      </c>
      <c r="AB59" s="326">
        <v>2018</v>
      </c>
      <c r="AC59" s="328"/>
      <c r="AD59" s="325" t="str">
        <f>IF(Contents!$A$1=2,"1Q","1 кв")</f>
        <v>1 кв</v>
      </c>
      <c r="AE59" s="325" t="str">
        <f>IF(Contents!$A$1=2,"2Q","2 кв")</f>
        <v>2 кв</v>
      </c>
      <c r="AF59" s="325" t="str">
        <f>IF(Contents!$A$1=2,"3Q","3 кв")</f>
        <v>3 кв</v>
      </c>
      <c r="AG59" s="325" t="str">
        <f>IF(Contents!$A$1=2,"4Q","4 кв")</f>
        <v>4 кв</v>
      </c>
      <c r="AH59" s="326">
        <v>2019</v>
      </c>
      <c r="AI59" s="328"/>
      <c r="AJ59" s="325" t="str">
        <f>IF(Contents!$A$1=2,"1Q","1 кв")</f>
        <v>1 кв</v>
      </c>
      <c r="AK59" s="325" t="str">
        <f>IF(Contents!$A$1=2,"2Q","2 кв")</f>
        <v>2 кв</v>
      </c>
      <c r="AL59" s="325" t="str">
        <f>IF(Contents!$A$1=2,"3Q","3 кв")</f>
        <v>3 кв</v>
      </c>
      <c r="AM59" s="325" t="str">
        <f>IF(Contents!$A$1=2,"4Q","4 кв")</f>
        <v>4 кв</v>
      </c>
      <c r="AN59" s="326">
        <v>2020</v>
      </c>
      <c r="AO59" s="328"/>
      <c r="AP59" s="325" t="str">
        <f>IF(Contents!$A$1=2,"1Q","1 кв")</f>
        <v>1 кв</v>
      </c>
      <c r="AQ59" s="325" t="str">
        <f>IF(Contents!$A$1=2,"2Q","2 кв")</f>
        <v>2 кв</v>
      </c>
      <c r="AR59" s="325" t="str">
        <f>IF(Contents!$A$1=2,"3Q","3 кв")</f>
        <v>3 кв</v>
      </c>
      <c r="AS59" s="325" t="str">
        <f>IF(Contents!$A$1=2,"4Q","4 кв")</f>
        <v>4 кв</v>
      </c>
      <c r="AT59" s="326">
        <v>2021</v>
      </c>
      <c r="AU59" s="80"/>
    </row>
    <row r="60" spans="1:47" s="141" customFormat="1" ht="15" customHeight="1" x14ac:dyDescent="0.2">
      <c r="A60" s="140" t="str">
        <f>IF(Contents!$A$1=2,"Refined and petrochemical products exports","Экспорт нефтепродуктов и продукции нефтехимии из России")</f>
        <v>Экспорт нефтепродуктов и продукции нефтехимии из России</v>
      </c>
      <c r="B60" s="374" t="str">
        <f>IF(Contents!$A$1=2,"mln RUB","млн руб.")</f>
        <v>млн руб.</v>
      </c>
      <c r="C60" s="140"/>
      <c r="D60" s="426">
        <v>581445</v>
      </c>
      <c r="E60" s="426"/>
      <c r="F60" s="426">
        <v>0</v>
      </c>
      <c r="G60" s="426">
        <v>0</v>
      </c>
      <c r="H60" s="426">
        <v>0</v>
      </c>
      <c r="I60" s="426">
        <v>0</v>
      </c>
      <c r="J60" s="426">
        <v>439874</v>
      </c>
      <c r="K60" s="426"/>
      <c r="L60" s="426">
        <v>89849</v>
      </c>
      <c r="M60" s="426">
        <v>99474</v>
      </c>
      <c r="N60" s="426">
        <v>100751</v>
      </c>
      <c r="O60" s="426">
        <v>94745</v>
      </c>
      <c r="P60" s="426">
        <v>384819</v>
      </c>
      <c r="Q60" s="426"/>
      <c r="R60" s="426">
        <v>117659</v>
      </c>
      <c r="S60" s="426">
        <v>109849</v>
      </c>
      <c r="T60" s="426">
        <v>101777</v>
      </c>
      <c r="U60" s="426">
        <v>134856</v>
      </c>
      <c r="V60" s="426">
        <v>464141</v>
      </c>
      <c r="W60" s="426"/>
      <c r="X60" s="426">
        <v>145120</v>
      </c>
      <c r="Y60" s="426">
        <v>140206</v>
      </c>
      <c r="Z60" s="426">
        <v>155686</v>
      </c>
      <c r="AA60" s="426">
        <v>153856</v>
      </c>
      <c r="AB60" s="426">
        <v>594868</v>
      </c>
      <c r="AC60" s="426"/>
      <c r="AD60" s="426">
        <v>176531</v>
      </c>
      <c r="AE60" s="426">
        <v>145329</v>
      </c>
      <c r="AF60" s="426">
        <v>151543</v>
      </c>
      <c r="AG60" s="426">
        <v>150229</v>
      </c>
      <c r="AH60" s="426">
        <v>623632</v>
      </c>
      <c r="AI60" s="426"/>
      <c r="AJ60" s="426">
        <v>135583</v>
      </c>
      <c r="AK60" s="426">
        <v>74456</v>
      </c>
      <c r="AL60" s="426">
        <v>89797</v>
      </c>
      <c r="AM60" s="426">
        <v>119827</v>
      </c>
      <c r="AN60" s="426">
        <v>419665</v>
      </c>
      <c r="AO60" s="426"/>
      <c r="AP60" s="426">
        <v>166805</v>
      </c>
      <c r="AQ60" s="426">
        <v>188427</v>
      </c>
      <c r="AR60" s="426">
        <v>176388</v>
      </c>
      <c r="AS60" s="426">
        <v>200335</v>
      </c>
      <c r="AT60" s="426">
        <v>731955</v>
      </c>
      <c r="AU60" s="80"/>
    </row>
    <row r="61" spans="1:47" s="141" customFormat="1" ht="15" customHeight="1" x14ac:dyDescent="0.2">
      <c r="A61" s="140"/>
      <c r="B61" s="275"/>
      <c r="C61" s="140"/>
      <c r="D61" s="467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426"/>
      <c r="AL61" s="426"/>
      <c r="AM61" s="426"/>
      <c r="AN61" s="426"/>
      <c r="AO61" s="426"/>
      <c r="AP61" s="426"/>
      <c r="AQ61" s="426"/>
      <c r="AR61" s="426"/>
      <c r="AS61" s="426"/>
      <c r="AT61" s="426"/>
      <c r="AU61" s="80"/>
    </row>
    <row r="62" spans="1:47" s="141" customFormat="1" ht="15" customHeight="1" x14ac:dyDescent="0.2">
      <c r="A62" s="140" t="str">
        <f>IF(Contents!$A$1=2,"Total refined products exports","Итого экспорт нефтепродуктов из России")</f>
        <v>Итого экспорт нефтепродуктов из России</v>
      </c>
      <c r="B62" s="275" t="str">
        <f>IF(Contents!$A$1=2,"th. t","тыс. т")</f>
        <v>тыс. т</v>
      </c>
      <c r="C62" s="140"/>
      <c r="D62" s="467">
        <v>23377</v>
      </c>
      <c r="E62" s="426"/>
      <c r="F62" s="426">
        <v>5259</v>
      </c>
      <c r="G62" s="426">
        <v>5144</v>
      </c>
      <c r="H62" s="426">
        <v>5215</v>
      </c>
      <c r="I62" s="426">
        <v>4828</v>
      </c>
      <c r="J62" s="426">
        <v>20446</v>
      </c>
      <c r="K62" s="426"/>
      <c r="L62" s="426">
        <v>5081</v>
      </c>
      <c r="M62" s="426">
        <v>4624</v>
      </c>
      <c r="N62" s="426">
        <v>4547</v>
      </c>
      <c r="O62" s="426">
        <v>4489</v>
      </c>
      <c r="P62" s="426">
        <v>18741</v>
      </c>
      <c r="Q62" s="426"/>
      <c r="R62" s="426">
        <v>4940</v>
      </c>
      <c r="S62" s="426">
        <v>4380</v>
      </c>
      <c r="T62" s="426">
        <v>3787</v>
      </c>
      <c r="U62" s="426">
        <v>4417</v>
      </c>
      <c r="V62" s="426">
        <v>17524</v>
      </c>
      <c r="W62" s="426"/>
      <c r="X62" s="426">
        <v>4665</v>
      </c>
      <c r="Y62" s="426">
        <v>3638</v>
      </c>
      <c r="Z62" s="426">
        <v>3787</v>
      </c>
      <c r="AA62" s="426">
        <v>4154</v>
      </c>
      <c r="AB62" s="426">
        <v>16244</v>
      </c>
      <c r="AC62" s="426"/>
      <c r="AD62" s="426">
        <v>5176</v>
      </c>
      <c r="AE62" s="426">
        <v>4098</v>
      </c>
      <c r="AF62" s="426">
        <v>4675</v>
      </c>
      <c r="AG62" s="426">
        <v>4780</v>
      </c>
      <c r="AH62" s="426">
        <v>18729</v>
      </c>
      <c r="AI62" s="426"/>
      <c r="AJ62" s="426">
        <v>5031</v>
      </c>
      <c r="AK62" s="426">
        <v>4632</v>
      </c>
      <c r="AL62" s="426">
        <v>3762</v>
      </c>
      <c r="AM62" s="426">
        <v>4496</v>
      </c>
      <c r="AN62" s="426">
        <v>17921</v>
      </c>
      <c r="AO62" s="426"/>
      <c r="AP62" s="426">
        <v>4657</v>
      </c>
      <c r="AQ62" s="426">
        <v>4586</v>
      </c>
      <c r="AR62" s="426">
        <v>4092</v>
      </c>
      <c r="AS62" s="426">
        <v>4237</v>
      </c>
      <c r="AT62" s="426">
        <v>17572</v>
      </c>
      <c r="AU62" s="80"/>
    </row>
    <row r="63" spans="1:47" s="141" customFormat="1" ht="15" customHeight="1" x14ac:dyDescent="0.2">
      <c r="A63" s="153" t="str">
        <f>IF(Contents!$A$1=2,"diesel fuel","дизельное топливо")</f>
        <v>дизельное топливо</v>
      </c>
      <c r="B63" s="280" t="str">
        <f>IF(Contents!$A$1=2,"th. t","тыс. т")</f>
        <v>тыс. т</v>
      </c>
      <c r="C63" s="140"/>
      <c r="D63" s="439">
        <v>7273</v>
      </c>
      <c r="E63" s="439"/>
      <c r="F63" s="439">
        <v>0</v>
      </c>
      <c r="G63" s="439">
        <v>0</v>
      </c>
      <c r="H63" s="439">
        <v>0</v>
      </c>
      <c r="I63" s="439">
        <v>0</v>
      </c>
      <c r="J63" s="439">
        <v>7328</v>
      </c>
      <c r="K63" s="439"/>
      <c r="L63" s="439">
        <v>2200</v>
      </c>
      <c r="M63" s="439">
        <v>2193</v>
      </c>
      <c r="N63" s="439">
        <v>1929</v>
      </c>
      <c r="O63" s="439">
        <v>1708</v>
      </c>
      <c r="P63" s="439">
        <v>8030</v>
      </c>
      <c r="Q63" s="439"/>
      <c r="R63" s="439">
        <v>2519</v>
      </c>
      <c r="S63" s="439">
        <v>2626</v>
      </c>
      <c r="T63" s="439">
        <v>2386</v>
      </c>
      <c r="U63" s="439">
        <v>2529</v>
      </c>
      <c r="V63" s="439">
        <v>10060</v>
      </c>
      <c r="W63" s="439"/>
      <c r="X63" s="439">
        <v>2811</v>
      </c>
      <c r="Y63" s="439">
        <v>2388</v>
      </c>
      <c r="Z63" s="439">
        <v>2382</v>
      </c>
      <c r="AA63" s="439">
        <v>2192</v>
      </c>
      <c r="AB63" s="439">
        <v>9773</v>
      </c>
      <c r="AC63" s="439"/>
      <c r="AD63" s="439">
        <v>2769</v>
      </c>
      <c r="AE63" s="439">
        <v>2243</v>
      </c>
      <c r="AF63" s="439">
        <v>2669</v>
      </c>
      <c r="AG63" s="439">
        <v>2524</v>
      </c>
      <c r="AH63" s="439">
        <v>10205</v>
      </c>
      <c r="AI63" s="439"/>
      <c r="AJ63" s="439">
        <v>2815</v>
      </c>
      <c r="AK63" s="439">
        <v>2624</v>
      </c>
      <c r="AL63" s="439">
        <v>2227</v>
      </c>
      <c r="AM63" s="439">
        <v>2050</v>
      </c>
      <c r="AN63" s="439">
        <v>9716</v>
      </c>
      <c r="AO63" s="439"/>
      <c r="AP63" s="439">
        <v>2397</v>
      </c>
      <c r="AQ63" s="439">
        <v>2356</v>
      </c>
      <c r="AR63" s="439">
        <v>2274</v>
      </c>
      <c r="AS63" s="439">
        <v>2205</v>
      </c>
      <c r="AT63" s="439">
        <v>9232</v>
      </c>
      <c r="AU63" s="80"/>
    </row>
    <row r="64" spans="1:47" s="141" customFormat="1" ht="15" customHeight="1" x14ac:dyDescent="0.2">
      <c r="A64" s="153" t="str">
        <f>IF(Contents!$A$1=2,"gasoline","бензин")</f>
        <v>бензин</v>
      </c>
      <c r="B64" s="280" t="str">
        <f>IF(Contents!$A$1=2,"th. t","тыс. т")</f>
        <v>тыс. т</v>
      </c>
      <c r="C64" s="140"/>
      <c r="D64" s="439">
        <v>171</v>
      </c>
      <c r="E64" s="439"/>
      <c r="F64" s="439">
        <v>0</v>
      </c>
      <c r="G64" s="439">
        <v>0</v>
      </c>
      <c r="H64" s="439">
        <v>0</v>
      </c>
      <c r="I64" s="439">
        <v>0</v>
      </c>
      <c r="J64" s="439">
        <v>283</v>
      </c>
      <c r="K64" s="439"/>
      <c r="L64" s="439">
        <v>185</v>
      </c>
      <c r="M64" s="439">
        <v>54</v>
      </c>
      <c r="N64" s="439">
        <v>68</v>
      </c>
      <c r="O64" s="439">
        <v>101</v>
      </c>
      <c r="P64" s="439">
        <v>408</v>
      </c>
      <c r="Q64" s="439"/>
      <c r="R64" s="439">
        <v>40</v>
      </c>
      <c r="S64" s="439">
        <v>49</v>
      </c>
      <c r="T64" s="439">
        <v>57</v>
      </c>
      <c r="U64" s="439">
        <v>185</v>
      </c>
      <c r="V64" s="439">
        <v>331</v>
      </c>
      <c r="W64" s="439"/>
      <c r="X64" s="439">
        <v>177</v>
      </c>
      <c r="Y64" s="439">
        <v>46</v>
      </c>
      <c r="Z64" s="439">
        <v>3</v>
      </c>
      <c r="AA64" s="439">
        <v>6</v>
      </c>
      <c r="AB64" s="439">
        <v>232</v>
      </c>
      <c r="AC64" s="439"/>
      <c r="AD64" s="439">
        <v>118</v>
      </c>
      <c r="AE64" s="439">
        <v>62</v>
      </c>
      <c r="AF64" s="439">
        <v>97</v>
      </c>
      <c r="AG64" s="439">
        <v>214</v>
      </c>
      <c r="AH64" s="439">
        <v>491</v>
      </c>
      <c r="AI64" s="439"/>
      <c r="AJ64" s="439">
        <v>368</v>
      </c>
      <c r="AK64" s="439">
        <v>284</v>
      </c>
      <c r="AL64" s="439">
        <v>0</v>
      </c>
      <c r="AM64" s="439">
        <v>2</v>
      </c>
      <c r="AN64" s="439">
        <v>654</v>
      </c>
      <c r="AO64" s="439"/>
      <c r="AP64" s="439">
        <v>72</v>
      </c>
      <c r="AQ64" s="439">
        <v>26</v>
      </c>
      <c r="AR64" s="439">
        <v>3</v>
      </c>
      <c r="AS64" s="439">
        <v>65</v>
      </c>
      <c r="AT64" s="439">
        <v>166</v>
      </c>
      <c r="AU64" s="80"/>
    </row>
    <row r="65" spans="1:47" s="141" customFormat="1" ht="15" customHeight="1" x14ac:dyDescent="0.2">
      <c r="A65" s="153" t="str">
        <f>IF(Contents!$A$1=2,"fuel oil","топочный мазут")</f>
        <v>топочный мазут</v>
      </c>
      <c r="B65" s="280" t="str">
        <f>IF(Contents!$A$1=2,"th. t","тыс. т")</f>
        <v>тыс. т</v>
      </c>
      <c r="C65" s="140"/>
      <c r="D65" s="439">
        <v>8090</v>
      </c>
      <c r="E65" s="439"/>
      <c r="F65" s="439">
        <v>0</v>
      </c>
      <c r="G65" s="439">
        <v>0</v>
      </c>
      <c r="H65" s="439">
        <v>0</v>
      </c>
      <c r="I65" s="439">
        <v>0</v>
      </c>
      <c r="J65" s="439">
        <v>6801</v>
      </c>
      <c r="K65" s="439"/>
      <c r="L65" s="439">
        <v>947</v>
      </c>
      <c r="M65" s="439">
        <v>663</v>
      </c>
      <c r="N65" s="439">
        <v>1019</v>
      </c>
      <c r="O65" s="439">
        <v>1068</v>
      </c>
      <c r="P65" s="439">
        <v>3697</v>
      </c>
      <c r="Q65" s="439"/>
      <c r="R65" s="439">
        <v>1018</v>
      </c>
      <c r="S65" s="439">
        <v>651</v>
      </c>
      <c r="T65" s="439">
        <v>342</v>
      </c>
      <c r="U65" s="439">
        <v>751</v>
      </c>
      <c r="V65" s="439">
        <v>2762</v>
      </c>
      <c r="W65" s="439"/>
      <c r="X65" s="439">
        <v>621</v>
      </c>
      <c r="Y65" s="439">
        <v>195</v>
      </c>
      <c r="Z65" s="439">
        <v>255</v>
      </c>
      <c r="AA65" s="439">
        <v>446</v>
      </c>
      <c r="AB65" s="439">
        <v>1517</v>
      </c>
      <c r="AC65" s="439"/>
      <c r="AD65" s="439">
        <v>587</v>
      </c>
      <c r="AE65" s="439">
        <v>364</v>
      </c>
      <c r="AF65" s="439">
        <v>437</v>
      </c>
      <c r="AG65" s="439">
        <v>574</v>
      </c>
      <c r="AH65" s="439">
        <v>1962</v>
      </c>
      <c r="AI65" s="439"/>
      <c r="AJ65" s="439">
        <v>429</v>
      </c>
      <c r="AK65" s="439">
        <v>112</v>
      </c>
      <c r="AL65" s="439">
        <v>631</v>
      </c>
      <c r="AM65" s="439">
        <v>744</v>
      </c>
      <c r="AN65" s="439">
        <v>1916</v>
      </c>
      <c r="AO65" s="439"/>
      <c r="AP65" s="439">
        <v>662</v>
      </c>
      <c r="AQ65" s="439">
        <v>819</v>
      </c>
      <c r="AR65" s="439">
        <v>962</v>
      </c>
      <c r="AS65" s="439">
        <v>822</v>
      </c>
      <c r="AT65" s="439">
        <v>3265</v>
      </c>
      <c r="AU65" s="80"/>
    </row>
    <row r="66" spans="1:47" s="141" customFormat="1" ht="15" customHeight="1" x14ac:dyDescent="0.2">
      <c r="A66" s="153" t="str">
        <f>IF(Contents!$A$1=2,"jet fuel ","реактивное топливо")</f>
        <v>реактивное топливо</v>
      </c>
      <c r="B66" s="280" t="str">
        <f>IF(Contents!$A$1=2,"th. t","тыс. т")</f>
        <v>тыс. т</v>
      </c>
      <c r="C66" s="140"/>
      <c r="D66" s="439">
        <v>117</v>
      </c>
      <c r="E66" s="439"/>
      <c r="F66" s="439">
        <v>0</v>
      </c>
      <c r="G66" s="439">
        <v>0</v>
      </c>
      <c r="H66" s="439">
        <v>0</v>
      </c>
      <c r="I66" s="439">
        <v>0</v>
      </c>
      <c r="J66" s="439">
        <v>159</v>
      </c>
      <c r="K66" s="439"/>
      <c r="L66" s="439">
        <v>74</v>
      </c>
      <c r="M66" s="439">
        <v>46</v>
      </c>
      <c r="N66" s="439">
        <v>60</v>
      </c>
      <c r="O66" s="439">
        <v>22</v>
      </c>
      <c r="P66" s="439">
        <v>202</v>
      </c>
      <c r="Q66" s="439"/>
      <c r="R66" s="439">
        <v>28</v>
      </c>
      <c r="S66" s="439">
        <v>30</v>
      </c>
      <c r="T66" s="439">
        <v>18</v>
      </c>
      <c r="U66" s="439">
        <v>8</v>
      </c>
      <c r="V66" s="439">
        <v>84</v>
      </c>
      <c r="W66" s="439"/>
      <c r="X66" s="439">
        <v>24</v>
      </c>
      <c r="Y66" s="439">
        <v>12</v>
      </c>
      <c r="Z66" s="439">
        <v>10</v>
      </c>
      <c r="AA66" s="439">
        <v>3</v>
      </c>
      <c r="AB66" s="439">
        <v>49</v>
      </c>
      <c r="AC66" s="439"/>
      <c r="AD66" s="439">
        <v>3</v>
      </c>
      <c r="AE66" s="439">
        <v>3</v>
      </c>
      <c r="AF66" s="439">
        <v>2</v>
      </c>
      <c r="AG66" s="439">
        <v>2</v>
      </c>
      <c r="AH66" s="439">
        <v>10</v>
      </c>
      <c r="AI66" s="439"/>
      <c r="AJ66" s="439">
        <v>6</v>
      </c>
      <c r="AK66" s="439">
        <v>1</v>
      </c>
      <c r="AL66" s="439">
        <v>2</v>
      </c>
      <c r="AM66" s="439">
        <v>10</v>
      </c>
      <c r="AN66" s="439">
        <v>19</v>
      </c>
      <c r="AO66" s="439"/>
      <c r="AP66" s="439">
        <v>6</v>
      </c>
      <c r="AQ66" s="439">
        <v>4</v>
      </c>
      <c r="AR66" s="439">
        <v>2</v>
      </c>
      <c r="AS66" s="439">
        <v>4</v>
      </c>
      <c r="AT66" s="439">
        <v>16</v>
      </c>
      <c r="AU66" s="80"/>
    </row>
    <row r="67" spans="1:47" s="141" customFormat="1" ht="15" customHeight="1" x14ac:dyDescent="0.2">
      <c r="A67" s="153" t="str">
        <f>IF(Contents!$A$1=2,"lubricants and components","масла и компоненты")</f>
        <v>масла и компоненты</v>
      </c>
      <c r="B67" s="280" t="str">
        <f>IF(Contents!$A$1=2,"th. t","тыс. т")</f>
        <v>тыс. т</v>
      </c>
      <c r="C67" s="140"/>
      <c r="D67" s="439">
        <v>638</v>
      </c>
      <c r="E67" s="439"/>
      <c r="F67" s="439">
        <v>0</v>
      </c>
      <c r="G67" s="439">
        <v>0</v>
      </c>
      <c r="H67" s="439">
        <v>0</v>
      </c>
      <c r="I67" s="439">
        <v>0</v>
      </c>
      <c r="J67" s="439">
        <v>576</v>
      </c>
      <c r="K67" s="439"/>
      <c r="L67" s="439">
        <v>158</v>
      </c>
      <c r="M67" s="439">
        <v>166</v>
      </c>
      <c r="N67" s="439">
        <v>139</v>
      </c>
      <c r="O67" s="439">
        <v>142</v>
      </c>
      <c r="P67" s="439">
        <v>605</v>
      </c>
      <c r="Q67" s="439"/>
      <c r="R67" s="439">
        <v>151</v>
      </c>
      <c r="S67" s="439">
        <v>173</v>
      </c>
      <c r="T67" s="439">
        <v>152</v>
      </c>
      <c r="U67" s="439">
        <v>147</v>
      </c>
      <c r="V67" s="439">
        <v>623</v>
      </c>
      <c r="W67" s="439"/>
      <c r="X67" s="439">
        <v>177</v>
      </c>
      <c r="Y67" s="439">
        <v>128</v>
      </c>
      <c r="Z67" s="439">
        <v>153</v>
      </c>
      <c r="AA67" s="439">
        <v>142</v>
      </c>
      <c r="AB67" s="439">
        <v>600</v>
      </c>
      <c r="AC67" s="439"/>
      <c r="AD67" s="439">
        <v>161</v>
      </c>
      <c r="AE67" s="439">
        <v>144</v>
      </c>
      <c r="AF67" s="439">
        <v>161</v>
      </c>
      <c r="AG67" s="439">
        <v>163</v>
      </c>
      <c r="AH67" s="439">
        <v>629</v>
      </c>
      <c r="AI67" s="439"/>
      <c r="AJ67" s="439">
        <v>174</v>
      </c>
      <c r="AK67" s="439">
        <v>138</v>
      </c>
      <c r="AL67" s="439">
        <v>128</v>
      </c>
      <c r="AM67" s="439">
        <v>167</v>
      </c>
      <c r="AN67" s="439">
        <v>607</v>
      </c>
      <c r="AO67" s="439"/>
      <c r="AP67" s="439">
        <v>149</v>
      </c>
      <c r="AQ67" s="439">
        <v>127</v>
      </c>
      <c r="AR67" s="439">
        <v>135</v>
      </c>
      <c r="AS67" s="439">
        <v>151</v>
      </c>
      <c r="AT67" s="439">
        <v>562</v>
      </c>
      <c r="AU67" s="80"/>
    </row>
    <row r="68" spans="1:47" s="141" customFormat="1" ht="15" customHeight="1" x14ac:dyDescent="0.2">
      <c r="A68" s="153" t="str">
        <f>IF(Contents!$A$1=2,"gas refinery products","продукция газопереработки")</f>
        <v>продукция газопереработки</v>
      </c>
      <c r="B68" s="280" t="str">
        <f>IF(Contents!$A$1=2,"th. t","тыс. т")</f>
        <v>тыс. т</v>
      </c>
      <c r="C68" s="140"/>
      <c r="D68" s="439">
        <v>0</v>
      </c>
      <c r="E68" s="439"/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/>
      <c r="L68" s="439">
        <v>150</v>
      </c>
      <c r="M68" s="439">
        <v>184</v>
      </c>
      <c r="N68" s="439">
        <v>104</v>
      </c>
      <c r="O68" s="439">
        <v>164</v>
      </c>
      <c r="P68" s="439">
        <v>602</v>
      </c>
      <c r="Q68" s="439"/>
      <c r="R68" s="439">
        <v>218</v>
      </c>
      <c r="S68" s="439">
        <v>378</v>
      </c>
      <c r="T68" s="439">
        <v>275</v>
      </c>
      <c r="U68" s="439">
        <v>433</v>
      </c>
      <c r="V68" s="439">
        <v>1304</v>
      </c>
      <c r="W68" s="439"/>
      <c r="X68" s="439">
        <v>301</v>
      </c>
      <c r="Y68" s="439">
        <v>244</v>
      </c>
      <c r="Z68" s="439">
        <v>256</v>
      </c>
      <c r="AA68" s="439">
        <v>448</v>
      </c>
      <c r="AB68" s="439">
        <v>650</v>
      </c>
      <c r="AC68" s="439"/>
      <c r="AD68" s="439">
        <v>184</v>
      </c>
      <c r="AE68" s="439">
        <v>196</v>
      </c>
      <c r="AF68" s="439">
        <v>182</v>
      </c>
      <c r="AG68" s="439">
        <v>207</v>
      </c>
      <c r="AH68" s="439">
        <v>769</v>
      </c>
      <c r="AI68" s="439"/>
      <c r="AJ68" s="439">
        <v>214</v>
      </c>
      <c r="AK68" s="439">
        <v>190</v>
      </c>
      <c r="AL68" s="439">
        <v>145</v>
      </c>
      <c r="AM68" s="439">
        <v>146</v>
      </c>
      <c r="AN68" s="439">
        <v>695</v>
      </c>
      <c r="AO68" s="439"/>
      <c r="AP68" s="439">
        <v>142</v>
      </c>
      <c r="AQ68" s="439">
        <v>128</v>
      </c>
      <c r="AR68" s="439">
        <v>151</v>
      </c>
      <c r="AS68" s="439">
        <v>192</v>
      </c>
      <c r="AT68" s="439">
        <v>613</v>
      </c>
      <c r="AU68" s="80"/>
    </row>
    <row r="69" spans="1:47" s="141" customFormat="1" ht="15" customHeight="1" x14ac:dyDescent="0.2">
      <c r="A69" s="153" t="str">
        <f>IF(Contents!$A$1=2,"other products","прочие")</f>
        <v>прочие</v>
      </c>
      <c r="B69" s="280" t="str">
        <f>IF(Contents!$A$1=2,"th. t","тыс. т")</f>
        <v>тыс. т</v>
      </c>
      <c r="C69" s="140"/>
      <c r="D69" s="439">
        <v>7088</v>
      </c>
      <c r="E69" s="439"/>
      <c r="F69" s="439">
        <v>0</v>
      </c>
      <c r="G69" s="439">
        <v>0</v>
      </c>
      <c r="H69" s="439">
        <v>0</v>
      </c>
      <c r="I69" s="439">
        <v>0</v>
      </c>
      <c r="J69" s="439">
        <v>5299</v>
      </c>
      <c r="K69" s="439"/>
      <c r="L69" s="439">
        <v>1367</v>
      </c>
      <c r="M69" s="439">
        <v>1318</v>
      </c>
      <c r="N69" s="439">
        <v>1228</v>
      </c>
      <c r="O69" s="439">
        <v>1284</v>
      </c>
      <c r="P69" s="439">
        <v>5197</v>
      </c>
      <c r="Q69" s="439"/>
      <c r="R69" s="439">
        <v>966</v>
      </c>
      <c r="S69" s="439">
        <v>473</v>
      </c>
      <c r="T69" s="439">
        <v>557</v>
      </c>
      <c r="U69" s="439">
        <v>364</v>
      </c>
      <c r="V69" s="439">
        <v>2360</v>
      </c>
      <c r="W69" s="439"/>
      <c r="X69" s="439">
        <v>554</v>
      </c>
      <c r="Y69" s="439">
        <v>625</v>
      </c>
      <c r="Z69" s="439">
        <v>728</v>
      </c>
      <c r="AA69" s="439">
        <v>917</v>
      </c>
      <c r="AB69" s="439">
        <v>3423</v>
      </c>
      <c r="AC69" s="439"/>
      <c r="AD69" s="439">
        <v>1354</v>
      </c>
      <c r="AE69" s="439">
        <v>1086</v>
      </c>
      <c r="AF69" s="439">
        <v>1127</v>
      </c>
      <c r="AG69" s="439">
        <v>1096</v>
      </c>
      <c r="AH69" s="439">
        <v>4663</v>
      </c>
      <c r="AI69" s="439"/>
      <c r="AJ69" s="439">
        <v>1025</v>
      </c>
      <c r="AK69" s="439">
        <v>1283</v>
      </c>
      <c r="AL69" s="439">
        <v>629</v>
      </c>
      <c r="AM69" s="439">
        <v>1377</v>
      </c>
      <c r="AN69" s="439">
        <v>4314</v>
      </c>
      <c r="AO69" s="439"/>
      <c r="AP69" s="439">
        <v>1229</v>
      </c>
      <c r="AQ69" s="439">
        <v>1126</v>
      </c>
      <c r="AR69" s="439">
        <v>565</v>
      </c>
      <c r="AS69" s="439">
        <v>798</v>
      </c>
      <c r="AT69" s="439">
        <v>3718</v>
      </c>
      <c r="AU69" s="80"/>
    </row>
    <row r="70" spans="1:47" s="141" customFormat="1" ht="15" customHeight="1" x14ac:dyDescent="0.2">
      <c r="A70" s="140"/>
      <c r="B70" s="275"/>
      <c r="C70" s="140"/>
      <c r="D70" s="467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6"/>
      <c r="AD70" s="426"/>
      <c r="AE70" s="426"/>
      <c r="AF70" s="426"/>
      <c r="AG70" s="426"/>
      <c r="AH70" s="426"/>
      <c r="AI70" s="426"/>
      <c r="AJ70" s="426"/>
      <c r="AK70" s="426"/>
      <c r="AL70" s="426"/>
      <c r="AM70" s="426"/>
      <c r="AN70" s="426"/>
      <c r="AO70" s="426"/>
      <c r="AP70" s="426"/>
      <c r="AQ70" s="426"/>
      <c r="AR70" s="426"/>
      <c r="AS70" s="426"/>
      <c r="AT70" s="426"/>
      <c r="AU70" s="80"/>
    </row>
    <row r="71" spans="1:47" s="141" customFormat="1" ht="15" customHeight="1" x14ac:dyDescent="0.2">
      <c r="A71" s="140" t="str">
        <f>IF(Contents!$A$1=2,"Total petrochemicals exports","Итого экспорт продукции нефтехимии из России")</f>
        <v>Итого экспорт продукции нефтехимии из России</v>
      </c>
      <c r="B71" s="275" t="str">
        <f>IF(Contents!$A$1=2,"th. t","тыс. т")</f>
        <v>тыс. т</v>
      </c>
      <c r="C71" s="140"/>
      <c r="D71" s="467">
        <v>0</v>
      </c>
      <c r="E71" s="426"/>
      <c r="F71" s="426">
        <v>0</v>
      </c>
      <c r="G71" s="426">
        <v>0</v>
      </c>
      <c r="H71" s="426">
        <v>0</v>
      </c>
      <c r="I71" s="426">
        <v>0</v>
      </c>
      <c r="J71" s="426">
        <v>0</v>
      </c>
      <c r="K71" s="426"/>
      <c r="L71" s="426">
        <v>0</v>
      </c>
      <c r="M71" s="426">
        <v>0</v>
      </c>
      <c r="N71" s="426">
        <v>0</v>
      </c>
      <c r="O71" s="426">
        <v>0</v>
      </c>
      <c r="P71" s="426">
        <v>0</v>
      </c>
      <c r="Q71" s="426"/>
      <c r="R71" s="426">
        <v>0</v>
      </c>
      <c r="S71" s="426">
        <v>0</v>
      </c>
      <c r="T71" s="426">
        <v>0</v>
      </c>
      <c r="U71" s="426">
        <v>0</v>
      </c>
      <c r="V71" s="426">
        <v>0</v>
      </c>
      <c r="W71" s="426"/>
      <c r="X71" s="426">
        <v>99</v>
      </c>
      <c r="Y71" s="426">
        <v>73</v>
      </c>
      <c r="Z71" s="426">
        <v>84</v>
      </c>
      <c r="AA71" s="426">
        <v>82</v>
      </c>
      <c r="AB71" s="426">
        <v>338</v>
      </c>
      <c r="AC71" s="426"/>
      <c r="AD71" s="426">
        <v>98</v>
      </c>
      <c r="AE71" s="426">
        <v>88</v>
      </c>
      <c r="AF71" s="426">
        <v>54</v>
      </c>
      <c r="AG71" s="426">
        <v>62</v>
      </c>
      <c r="AH71" s="426">
        <v>302</v>
      </c>
      <c r="AI71" s="426"/>
      <c r="AJ71" s="426">
        <v>96</v>
      </c>
      <c r="AK71" s="426">
        <v>80</v>
      </c>
      <c r="AL71" s="426">
        <v>110</v>
      </c>
      <c r="AM71" s="426">
        <v>102</v>
      </c>
      <c r="AN71" s="426">
        <v>388</v>
      </c>
      <c r="AO71" s="426"/>
      <c r="AP71" s="426">
        <v>110</v>
      </c>
      <c r="AQ71" s="426">
        <v>125</v>
      </c>
      <c r="AR71" s="426">
        <v>113</v>
      </c>
      <c r="AS71" s="426">
        <v>97</v>
      </c>
      <c r="AT71" s="426">
        <v>445</v>
      </c>
      <c r="AU71" s="80"/>
    </row>
    <row r="72" spans="1:47" s="141" customFormat="1" ht="15" customHeight="1" x14ac:dyDescent="0.2">
      <c r="A72" s="140"/>
      <c r="B72" s="275"/>
      <c r="C72" s="140"/>
      <c r="D72" s="19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U72" s="80"/>
    </row>
    <row r="73" spans="1:47" s="141" customFormat="1" ht="15" customHeight="1" x14ac:dyDescent="0.2">
      <c r="A73" s="140"/>
      <c r="B73" s="275"/>
      <c r="C73" s="140"/>
      <c r="D73" s="19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U73" s="80"/>
    </row>
    <row r="74" spans="1:47" s="141" customFormat="1" ht="15" customHeight="1" x14ac:dyDescent="0.2">
      <c r="A74" s="69" t="str">
        <f>IF(Contents!$A$1=2,"Sales breakdown","Продажи нефтепродуктов по видам")</f>
        <v>Продажи нефтепродуктов по видам</v>
      </c>
      <c r="B74" s="275"/>
      <c r="C74" s="140"/>
      <c r="D74" s="19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U74" s="80"/>
    </row>
    <row r="75" spans="1:47" s="141" customFormat="1" ht="15" customHeight="1" x14ac:dyDescent="0.2">
      <c r="A75" s="140"/>
      <c r="B75" s="275"/>
      <c r="C75" s="140"/>
      <c r="D75" s="19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U75" s="80"/>
    </row>
    <row r="76" spans="1:47" s="206" customFormat="1" ht="15" customHeight="1" x14ac:dyDescent="0.2">
      <c r="A76" s="75"/>
      <c r="B76" s="313"/>
      <c r="C76" s="16"/>
      <c r="D76" s="317">
        <v>2014</v>
      </c>
      <c r="E76" s="324"/>
      <c r="F76" s="325" t="str">
        <f>IF(Contents!$A$1=2,"1Q","1 кв")</f>
        <v>1 кв</v>
      </c>
      <c r="G76" s="325" t="str">
        <f>IF(Contents!$A$1=2,"2Q","2 кв")</f>
        <v>2 кв</v>
      </c>
      <c r="H76" s="325" t="str">
        <f>IF(Contents!$A$1=2,"3Q","3 кв")</f>
        <v>3 кв</v>
      </c>
      <c r="I76" s="325" t="str">
        <f>IF(Contents!$A$1=2,"4Q","4 кв")</f>
        <v>4 кв</v>
      </c>
      <c r="J76" s="317">
        <v>2015</v>
      </c>
      <c r="K76" s="324"/>
      <c r="L76" s="325" t="str">
        <f>IF(Contents!$A$1=2,"1Q","1 кв")</f>
        <v>1 кв</v>
      </c>
      <c r="M76" s="325" t="str">
        <f>IF(Contents!$A$1=2,"2Q","2 кв")</f>
        <v>2 кв</v>
      </c>
      <c r="N76" s="325" t="str">
        <f>IF(Contents!$A$1=2,"3Q","3 кв")</f>
        <v>3 кв</v>
      </c>
      <c r="O76" s="325" t="str">
        <f>IF(Contents!$A$1=2,"4Q","4 кв")</f>
        <v>4 кв</v>
      </c>
      <c r="P76" s="317">
        <v>2016</v>
      </c>
      <c r="Q76" s="324"/>
      <c r="R76" s="325" t="str">
        <f>IF(Contents!$A$1=2,"1Q","1 кв")</f>
        <v>1 кв</v>
      </c>
      <c r="S76" s="325" t="str">
        <f>IF(Contents!$A$1=2,"2Q","2 кв")</f>
        <v>2 кв</v>
      </c>
      <c r="T76" s="325" t="str">
        <f>IF(Contents!$A$1=2,"3Q","3 кв")</f>
        <v>3 кв</v>
      </c>
      <c r="U76" s="325" t="str">
        <f>IF(Contents!$A$1=2,"4Q","4 кв")</f>
        <v>4 кв</v>
      </c>
      <c r="V76" s="326">
        <v>2017</v>
      </c>
      <c r="W76" s="328"/>
      <c r="X76" s="325" t="str">
        <f>IF(Contents!$A$1=2,"1Q","1 кв")</f>
        <v>1 кв</v>
      </c>
      <c r="Y76" s="325" t="str">
        <f>IF(Contents!$A$1=2,"2Q","2 кв")</f>
        <v>2 кв</v>
      </c>
      <c r="Z76" s="325" t="str">
        <f>IF(Contents!$A$1=2,"3Q","3 кв")</f>
        <v>3 кв</v>
      </c>
      <c r="AA76" s="325" t="str">
        <f>IF(Contents!$A$1=2,"4Q","4 кв")</f>
        <v>4 кв</v>
      </c>
      <c r="AB76" s="326">
        <v>2018</v>
      </c>
      <c r="AC76" s="328"/>
      <c r="AD76" s="325" t="str">
        <f>IF(Contents!$A$1=2,"1Q","1 кв")</f>
        <v>1 кв</v>
      </c>
      <c r="AE76" s="325" t="str">
        <f>IF(Contents!$A$1=2,"2Q","2 кв")</f>
        <v>2 кв</v>
      </c>
      <c r="AF76" s="325" t="str">
        <f>IF(Contents!$A$1=2,"3Q","3 кв")</f>
        <v>3 кв</v>
      </c>
      <c r="AG76" s="325" t="str">
        <f>IF(Contents!$A$1=2,"4Q","4 кв")</f>
        <v>4 кв</v>
      </c>
      <c r="AH76" s="326">
        <v>2019</v>
      </c>
      <c r="AI76" s="328"/>
      <c r="AJ76" s="325" t="str">
        <f>IF(Contents!$A$1=2,"1Q","1 кв")</f>
        <v>1 кв</v>
      </c>
      <c r="AK76" s="325" t="str">
        <f>IF(Contents!$A$1=2,"2Q","2 кв")</f>
        <v>2 кв</v>
      </c>
      <c r="AL76" s="325" t="str">
        <f>IF(Contents!$A$1=2,"3Q","3 кв")</f>
        <v>3 кв</v>
      </c>
      <c r="AM76" s="325" t="str">
        <f>IF(Contents!$A$1=2,"4Q","4 кв")</f>
        <v>4 кв</v>
      </c>
      <c r="AN76" s="326">
        <v>2020</v>
      </c>
      <c r="AO76" s="328"/>
      <c r="AP76" s="325" t="str">
        <f>IF(Contents!$A$1=2,"1Q","1 кв")</f>
        <v>1 кв</v>
      </c>
      <c r="AQ76" s="325" t="str">
        <f>IF(Contents!$A$1=2,"2Q","2 кв")</f>
        <v>2 кв</v>
      </c>
      <c r="AR76" s="325" t="str">
        <f>IF(Contents!$A$1=2,"3Q","3 кв")</f>
        <v>3 кв</v>
      </c>
      <c r="AS76" s="325" t="str">
        <f>IF(Contents!$A$1=2,"4Q","4 кв")</f>
        <v>4 кв</v>
      </c>
      <c r="AT76" s="326">
        <v>2021</v>
      </c>
      <c r="AU76" s="80"/>
    </row>
    <row r="77" spans="1:47" s="141" customFormat="1" ht="15" customHeight="1" x14ac:dyDescent="0.2">
      <c r="A77" s="379" t="str">
        <f>IF(Contents!$A$1=2,"Wholesales outside Russia","Оптовая реализация за рубежом")</f>
        <v>Оптовая реализация за рубежом</v>
      </c>
      <c r="B77" s="279" t="str">
        <f>IF(Contents!$A$1=2,"mln RUB","млн руб.")</f>
        <v>млн руб.</v>
      </c>
      <c r="C77" s="382"/>
      <c r="D77" s="522">
        <v>0</v>
      </c>
      <c r="E77" s="522"/>
      <c r="F77" s="522">
        <v>0</v>
      </c>
      <c r="G77" s="522">
        <v>0</v>
      </c>
      <c r="H77" s="522">
        <v>0</v>
      </c>
      <c r="I77" s="522">
        <v>0</v>
      </c>
      <c r="J77" s="522">
        <v>0</v>
      </c>
      <c r="K77" s="522"/>
      <c r="L77" s="522">
        <v>0</v>
      </c>
      <c r="M77" s="522">
        <v>0</v>
      </c>
      <c r="N77" s="522">
        <v>0</v>
      </c>
      <c r="O77" s="522">
        <v>0</v>
      </c>
      <c r="P77" s="522">
        <v>0</v>
      </c>
      <c r="Q77" s="522"/>
      <c r="R77" s="522">
        <v>0</v>
      </c>
      <c r="S77" s="522">
        <v>0</v>
      </c>
      <c r="T77" s="522">
        <v>0</v>
      </c>
      <c r="U77" s="522">
        <v>0</v>
      </c>
      <c r="V77" s="522">
        <v>0</v>
      </c>
      <c r="W77" s="522"/>
      <c r="X77" s="522">
        <v>0</v>
      </c>
      <c r="Y77" s="522">
        <v>0</v>
      </c>
      <c r="Z77" s="522">
        <v>0</v>
      </c>
      <c r="AA77" s="522">
        <v>0</v>
      </c>
      <c r="AB77" s="522">
        <v>3612291</v>
      </c>
      <c r="AC77" s="522"/>
      <c r="AD77" s="522">
        <v>813461</v>
      </c>
      <c r="AE77" s="522">
        <v>938894</v>
      </c>
      <c r="AF77" s="522">
        <v>840030</v>
      </c>
      <c r="AG77" s="522">
        <v>810817</v>
      </c>
      <c r="AH77" s="522">
        <v>3403202</v>
      </c>
      <c r="AI77" s="522"/>
      <c r="AJ77" s="522">
        <v>645799</v>
      </c>
      <c r="AK77" s="522">
        <v>383779</v>
      </c>
      <c r="AL77" s="522">
        <v>555275</v>
      </c>
      <c r="AM77" s="522">
        <v>661087</v>
      </c>
      <c r="AN77" s="522">
        <v>2245939</v>
      </c>
      <c r="AO77" s="426"/>
      <c r="AP77" s="522">
        <v>795370</v>
      </c>
      <c r="AQ77" s="522">
        <v>902291</v>
      </c>
      <c r="AR77" s="522">
        <v>1018830</v>
      </c>
      <c r="AS77" s="522">
        <v>1133224</v>
      </c>
      <c r="AT77" s="522">
        <v>3849715</v>
      </c>
      <c r="AU77" s="80"/>
    </row>
    <row r="78" spans="1:47" s="141" customFormat="1" ht="15" customHeight="1" x14ac:dyDescent="0.2">
      <c r="A78" s="380" t="str">
        <f>IF(Contents!$A$1=2,"diesel fuel","дизельное топливо")</f>
        <v>дизельное топливо</v>
      </c>
      <c r="B78" s="281" t="str">
        <f>IF(Contents!$A$1=2,"mln RUB","млн руб.")</f>
        <v>млн руб.</v>
      </c>
      <c r="C78" s="140"/>
      <c r="D78" s="491">
        <v>0</v>
      </c>
      <c r="E78" s="426"/>
      <c r="F78" s="491">
        <v>0</v>
      </c>
      <c r="G78" s="491">
        <v>0</v>
      </c>
      <c r="H78" s="491">
        <v>0</v>
      </c>
      <c r="I78" s="491">
        <v>0</v>
      </c>
      <c r="J78" s="491">
        <v>0</v>
      </c>
      <c r="K78" s="426"/>
      <c r="L78" s="491">
        <v>0</v>
      </c>
      <c r="M78" s="491">
        <v>0</v>
      </c>
      <c r="N78" s="491">
        <v>0</v>
      </c>
      <c r="O78" s="491">
        <v>0</v>
      </c>
      <c r="P78" s="491">
        <v>0</v>
      </c>
      <c r="Q78" s="426"/>
      <c r="R78" s="491">
        <v>0</v>
      </c>
      <c r="S78" s="491">
        <v>0</v>
      </c>
      <c r="T78" s="491">
        <v>0</v>
      </c>
      <c r="U78" s="491">
        <v>0</v>
      </c>
      <c r="V78" s="491">
        <v>0</v>
      </c>
      <c r="W78" s="426"/>
      <c r="X78" s="491">
        <v>0</v>
      </c>
      <c r="Y78" s="491">
        <v>0</v>
      </c>
      <c r="Z78" s="491">
        <v>0</v>
      </c>
      <c r="AA78" s="491">
        <v>0</v>
      </c>
      <c r="AB78" s="491">
        <v>1608595</v>
      </c>
      <c r="AC78" s="426"/>
      <c r="AD78" s="491">
        <v>406438</v>
      </c>
      <c r="AE78" s="491">
        <v>430841</v>
      </c>
      <c r="AF78" s="491">
        <v>401518</v>
      </c>
      <c r="AG78" s="491">
        <v>398753</v>
      </c>
      <c r="AH78" s="491">
        <v>1637550</v>
      </c>
      <c r="AI78" s="426"/>
      <c r="AJ78" s="491">
        <v>278118</v>
      </c>
      <c r="AK78" s="491">
        <v>168470</v>
      </c>
      <c r="AL78" s="491">
        <v>230128</v>
      </c>
      <c r="AM78" s="491">
        <v>260899</v>
      </c>
      <c r="AN78" s="491">
        <v>937614</v>
      </c>
      <c r="AO78" s="491"/>
      <c r="AP78" s="491">
        <v>286228</v>
      </c>
      <c r="AQ78" s="491">
        <v>361230</v>
      </c>
      <c r="AR78" s="491">
        <v>373786</v>
      </c>
      <c r="AS78" s="491">
        <v>392482</v>
      </c>
      <c r="AT78" s="491">
        <v>1413726</v>
      </c>
      <c r="AU78" s="80"/>
    </row>
    <row r="79" spans="1:47" s="141" customFormat="1" ht="15" customHeight="1" x14ac:dyDescent="0.2">
      <c r="A79" s="380" t="str">
        <f>IF(Contents!$A$1=2,"motor gasoline","бензин")</f>
        <v>бензин</v>
      </c>
      <c r="B79" s="281" t="str">
        <f>IF(Contents!$A$1=2,"mln RUB","млн руб.")</f>
        <v>млн руб.</v>
      </c>
      <c r="C79" s="140"/>
      <c r="D79" s="491">
        <v>0</v>
      </c>
      <c r="E79" s="426"/>
      <c r="F79" s="491">
        <v>0</v>
      </c>
      <c r="G79" s="491">
        <v>0</v>
      </c>
      <c r="H79" s="491">
        <v>0</v>
      </c>
      <c r="I79" s="491">
        <v>0</v>
      </c>
      <c r="J79" s="491">
        <v>0</v>
      </c>
      <c r="K79" s="426"/>
      <c r="L79" s="491">
        <v>0</v>
      </c>
      <c r="M79" s="491">
        <v>0</v>
      </c>
      <c r="N79" s="491">
        <v>0</v>
      </c>
      <c r="O79" s="491">
        <v>0</v>
      </c>
      <c r="P79" s="491">
        <v>0</v>
      </c>
      <c r="Q79" s="426"/>
      <c r="R79" s="491">
        <v>0</v>
      </c>
      <c r="S79" s="491">
        <v>0</v>
      </c>
      <c r="T79" s="491">
        <v>0</v>
      </c>
      <c r="U79" s="491">
        <v>0</v>
      </c>
      <c r="V79" s="491">
        <v>0</v>
      </c>
      <c r="W79" s="426"/>
      <c r="X79" s="491">
        <v>0</v>
      </c>
      <c r="Y79" s="491">
        <v>0</v>
      </c>
      <c r="Z79" s="491">
        <v>0</v>
      </c>
      <c r="AA79" s="491">
        <v>0</v>
      </c>
      <c r="AB79" s="491">
        <v>746274</v>
      </c>
      <c r="AC79" s="426"/>
      <c r="AD79" s="491">
        <v>125349</v>
      </c>
      <c r="AE79" s="491">
        <v>187105</v>
      </c>
      <c r="AF79" s="491">
        <v>175469</v>
      </c>
      <c r="AG79" s="491">
        <v>149404</v>
      </c>
      <c r="AH79" s="491">
        <v>637327</v>
      </c>
      <c r="AI79" s="426"/>
      <c r="AJ79" s="491">
        <v>123248</v>
      </c>
      <c r="AK79" s="491">
        <v>59468</v>
      </c>
      <c r="AL79" s="491">
        <v>135036</v>
      </c>
      <c r="AM79" s="491">
        <v>122540</v>
      </c>
      <c r="AN79" s="491">
        <v>440292</v>
      </c>
      <c r="AO79" s="491"/>
      <c r="AP79" s="491">
        <v>145463</v>
      </c>
      <c r="AQ79" s="491">
        <v>190750</v>
      </c>
      <c r="AR79" s="491">
        <v>223935</v>
      </c>
      <c r="AS79" s="491">
        <v>244924</v>
      </c>
      <c r="AT79" s="491">
        <v>805072</v>
      </c>
      <c r="AU79" s="80"/>
    </row>
    <row r="80" spans="1:47" s="141" customFormat="1" ht="15" customHeight="1" x14ac:dyDescent="0.2">
      <c r="A80" s="380" t="str">
        <f>IF(Contents!$A$1=2,"fuel oil","топочный мазут")</f>
        <v>топочный мазут</v>
      </c>
      <c r="B80" s="281" t="str">
        <f>IF(Contents!$A$1=2,"mln RUB","млн руб.")</f>
        <v>млн руб.</v>
      </c>
      <c r="C80" s="140"/>
      <c r="D80" s="491">
        <v>0</v>
      </c>
      <c r="E80" s="426"/>
      <c r="F80" s="491">
        <v>0</v>
      </c>
      <c r="G80" s="491">
        <v>0</v>
      </c>
      <c r="H80" s="491">
        <v>0</v>
      </c>
      <c r="I80" s="491">
        <v>0</v>
      </c>
      <c r="J80" s="491">
        <v>0</v>
      </c>
      <c r="K80" s="426"/>
      <c r="L80" s="491">
        <v>0</v>
      </c>
      <c r="M80" s="491">
        <v>0</v>
      </c>
      <c r="N80" s="491">
        <v>0</v>
      </c>
      <c r="O80" s="491">
        <v>0</v>
      </c>
      <c r="P80" s="491">
        <v>0</v>
      </c>
      <c r="Q80" s="426"/>
      <c r="R80" s="491">
        <v>0</v>
      </c>
      <c r="S80" s="491">
        <v>0</v>
      </c>
      <c r="T80" s="491">
        <v>0</v>
      </c>
      <c r="U80" s="491">
        <v>0</v>
      </c>
      <c r="V80" s="491">
        <v>0</v>
      </c>
      <c r="W80" s="426"/>
      <c r="X80" s="491">
        <v>0</v>
      </c>
      <c r="Y80" s="491">
        <v>0</v>
      </c>
      <c r="Z80" s="491">
        <v>0</v>
      </c>
      <c r="AA80" s="491">
        <v>0</v>
      </c>
      <c r="AB80" s="491">
        <v>534155</v>
      </c>
      <c r="AC80" s="426"/>
      <c r="AD80" s="491">
        <v>113377</v>
      </c>
      <c r="AE80" s="491">
        <v>155183</v>
      </c>
      <c r="AF80" s="491">
        <v>118781</v>
      </c>
      <c r="AG80" s="491">
        <v>134541</v>
      </c>
      <c r="AH80" s="491">
        <v>521882</v>
      </c>
      <c r="AI80" s="426"/>
      <c r="AJ80" s="491">
        <v>103298</v>
      </c>
      <c r="AK80" s="491">
        <v>75885</v>
      </c>
      <c r="AL80" s="491">
        <v>107307</v>
      </c>
      <c r="AM80" s="491">
        <v>127681</v>
      </c>
      <c r="AN80" s="491">
        <v>414171</v>
      </c>
      <c r="AO80" s="491"/>
      <c r="AP80" s="491">
        <v>120564</v>
      </c>
      <c r="AQ80" s="491">
        <v>104236</v>
      </c>
      <c r="AR80" s="491">
        <v>87536</v>
      </c>
      <c r="AS80" s="491">
        <v>123278</v>
      </c>
      <c r="AT80" s="491">
        <v>435614</v>
      </c>
      <c r="AU80" s="80"/>
    </row>
    <row r="81" spans="1:47" s="141" customFormat="1" ht="15" customHeight="1" x14ac:dyDescent="0.2">
      <c r="A81" s="380" t="str">
        <f>IF(Contents!$A$1=2,"jet fuel ","реактивное топливо")</f>
        <v>реактивное топливо</v>
      </c>
      <c r="B81" s="281" t="str">
        <f>IF(Contents!$A$1=2,"mln RUB","млн руб.")</f>
        <v>млн руб.</v>
      </c>
      <c r="C81" s="140"/>
      <c r="D81" s="491">
        <v>0</v>
      </c>
      <c r="E81" s="426"/>
      <c r="F81" s="491">
        <v>0</v>
      </c>
      <c r="G81" s="491">
        <v>0</v>
      </c>
      <c r="H81" s="491">
        <v>0</v>
      </c>
      <c r="I81" s="491">
        <v>0</v>
      </c>
      <c r="J81" s="491">
        <v>0</v>
      </c>
      <c r="K81" s="426"/>
      <c r="L81" s="491">
        <v>0</v>
      </c>
      <c r="M81" s="491">
        <v>0</v>
      </c>
      <c r="N81" s="491">
        <v>0</v>
      </c>
      <c r="O81" s="491">
        <v>0</v>
      </c>
      <c r="P81" s="491">
        <v>0</v>
      </c>
      <c r="Q81" s="426"/>
      <c r="R81" s="491">
        <v>0</v>
      </c>
      <c r="S81" s="491">
        <v>0</v>
      </c>
      <c r="T81" s="491">
        <v>0</v>
      </c>
      <c r="U81" s="491">
        <v>0</v>
      </c>
      <c r="V81" s="491">
        <v>0</v>
      </c>
      <c r="W81" s="426"/>
      <c r="X81" s="491">
        <v>0</v>
      </c>
      <c r="Y81" s="491">
        <v>0</v>
      </c>
      <c r="Z81" s="491">
        <v>0</v>
      </c>
      <c r="AA81" s="491">
        <v>0</v>
      </c>
      <c r="AB81" s="491">
        <v>126840</v>
      </c>
      <c r="AC81" s="426"/>
      <c r="AD81" s="491">
        <v>30374</v>
      </c>
      <c r="AE81" s="491">
        <v>26976</v>
      </c>
      <c r="AF81" s="491">
        <v>31040</v>
      </c>
      <c r="AG81" s="491">
        <v>8812</v>
      </c>
      <c r="AH81" s="491">
        <v>97202</v>
      </c>
      <c r="AI81" s="426"/>
      <c r="AJ81" s="491">
        <v>9073</v>
      </c>
      <c r="AK81" s="491">
        <v>851</v>
      </c>
      <c r="AL81" s="491">
        <v>5925</v>
      </c>
      <c r="AM81" s="491">
        <v>5017</v>
      </c>
      <c r="AN81" s="491">
        <v>20866</v>
      </c>
      <c r="AO81" s="491"/>
      <c r="AP81" s="491">
        <v>14762</v>
      </c>
      <c r="AQ81" s="491">
        <v>14364</v>
      </c>
      <c r="AR81" s="491">
        <v>32814</v>
      </c>
      <c r="AS81" s="491">
        <v>29061</v>
      </c>
      <c r="AT81" s="491">
        <v>91001</v>
      </c>
      <c r="AU81" s="80"/>
    </row>
    <row r="82" spans="1:47" s="141" customFormat="1" ht="15" customHeight="1" x14ac:dyDescent="0.2">
      <c r="A82" s="380" t="str">
        <f>IF(Contents!$A$1=2,"lubricants and components","масла и компоненты")</f>
        <v>масла и компоненты</v>
      </c>
      <c r="B82" s="281" t="str">
        <f>IF(Contents!$A$1=2,"mln RUB","млн руб.")</f>
        <v>млн руб.</v>
      </c>
      <c r="C82" s="140"/>
      <c r="D82" s="491">
        <v>0</v>
      </c>
      <c r="E82" s="426"/>
      <c r="F82" s="491">
        <v>0</v>
      </c>
      <c r="G82" s="491">
        <v>0</v>
      </c>
      <c r="H82" s="491">
        <v>0</v>
      </c>
      <c r="I82" s="491">
        <v>0</v>
      </c>
      <c r="J82" s="491">
        <v>0</v>
      </c>
      <c r="K82" s="426"/>
      <c r="L82" s="491">
        <v>0</v>
      </c>
      <c r="M82" s="491">
        <v>0</v>
      </c>
      <c r="N82" s="491">
        <v>0</v>
      </c>
      <c r="O82" s="491">
        <v>0</v>
      </c>
      <c r="P82" s="491">
        <v>0</v>
      </c>
      <c r="Q82" s="426"/>
      <c r="R82" s="491">
        <v>0</v>
      </c>
      <c r="S82" s="491">
        <v>0</v>
      </c>
      <c r="T82" s="491">
        <v>0</v>
      </c>
      <c r="U82" s="491">
        <v>0</v>
      </c>
      <c r="V82" s="491">
        <v>0</v>
      </c>
      <c r="W82" s="426"/>
      <c r="X82" s="491">
        <v>0</v>
      </c>
      <c r="Y82" s="491">
        <v>0</v>
      </c>
      <c r="Z82" s="491">
        <v>0</v>
      </c>
      <c r="AA82" s="491">
        <v>0</v>
      </c>
      <c r="AB82" s="491">
        <v>73300</v>
      </c>
      <c r="AC82" s="426"/>
      <c r="AD82" s="491">
        <v>21204</v>
      </c>
      <c r="AE82" s="491">
        <v>12962</v>
      </c>
      <c r="AF82" s="491">
        <v>16330</v>
      </c>
      <c r="AG82" s="491">
        <v>15230</v>
      </c>
      <c r="AH82" s="491">
        <v>65726</v>
      </c>
      <c r="AI82" s="426"/>
      <c r="AJ82" s="491">
        <v>17587</v>
      </c>
      <c r="AK82" s="491">
        <v>15890</v>
      </c>
      <c r="AL82" s="491">
        <v>15477</v>
      </c>
      <c r="AM82" s="491">
        <v>18500</v>
      </c>
      <c r="AN82" s="491">
        <v>67454</v>
      </c>
      <c r="AO82" s="491"/>
      <c r="AP82" s="491">
        <v>19357</v>
      </c>
      <c r="AQ82" s="491">
        <v>22641</v>
      </c>
      <c r="AR82" s="491">
        <v>21754</v>
      </c>
      <c r="AS82" s="491">
        <v>21143</v>
      </c>
      <c r="AT82" s="491">
        <v>84895</v>
      </c>
      <c r="AU82" s="80"/>
    </row>
    <row r="83" spans="1:47" s="141" customFormat="1" ht="15" customHeight="1" x14ac:dyDescent="0.2">
      <c r="A83" s="380" t="str">
        <f>IF(Contents!$A$1=2,"gas products","продукция газопереработки")</f>
        <v>продукция газопереработки</v>
      </c>
      <c r="B83" s="281" t="str">
        <f>IF(Contents!$A$1=2,"mln RUB","млн руб.")</f>
        <v>млн руб.</v>
      </c>
      <c r="C83" s="140"/>
      <c r="D83" s="491">
        <v>0</v>
      </c>
      <c r="E83" s="426"/>
      <c r="F83" s="491">
        <v>0</v>
      </c>
      <c r="G83" s="491">
        <v>0</v>
      </c>
      <c r="H83" s="491">
        <v>0</v>
      </c>
      <c r="I83" s="491">
        <v>0</v>
      </c>
      <c r="J83" s="491">
        <v>0</v>
      </c>
      <c r="K83" s="426"/>
      <c r="L83" s="491">
        <v>0</v>
      </c>
      <c r="M83" s="491">
        <v>0</v>
      </c>
      <c r="N83" s="491">
        <v>0</v>
      </c>
      <c r="O83" s="491">
        <v>0</v>
      </c>
      <c r="P83" s="491">
        <v>0</v>
      </c>
      <c r="Q83" s="426"/>
      <c r="R83" s="491">
        <v>0</v>
      </c>
      <c r="S83" s="491">
        <v>0</v>
      </c>
      <c r="T83" s="491">
        <v>0</v>
      </c>
      <c r="U83" s="491">
        <v>0</v>
      </c>
      <c r="V83" s="491">
        <v>0</v>
      </c>
      <c r="W83" s="426"/>
      <c r="X83" s="491">
        <v>0</v>
      </c>
      <c r="Y83" s="491">
        <v>0</v>
      </c>
      <c r="Z83" s="491">
        <v>0</v>
      </c>
      <c r="AA83" s="491">
        <v>0</v>
      </c>
      <c r="AB83" s="491">
        <v>57274</v>
      </c>
      <c r="AC83" s="426"/>
      <c r="AD83" s="491">
        <v>12825</v>
      </c>
      <c r="AE83" s="491">
        <v>13751</v>
      </c>
      <c r="AF83" s="491">
        <v>11915</v>
      </c>
      <c r="AG83" s="491">
        <v>15024</v>
      </c>
      <c r="AH83" s="491">
        <v>53515</v>
      </c>
      <c r="AI83" s="426"/>
      <c r="AJ83" s="491">
        <v>23341</v>
      </c>
      <c r="AK83" s="491">
        <v>14481</v>
      </c>
      <c r="AL83" s="491">
        <v>17545</v>
      </c>
      <c r="AM83" s="491">
        <v>21336</v>
      </c>
      <c r="AN83" s="491">
        <v>76703</v>
      </c>
      <c r="AO83" s="491"/>
      <c r="AP83" s="491">
        <v>21279</v>
      </c>
      <c r="AQ83" s="491">
        <v>22687</v>
      </c>
      <c r="AR83" s="491">
        <v>63390</v>
      </c>
      <c r="AS83" s="491">
        <v>85087</v>
      </c>
      <c r="AT83" s="491">
        <v>192443</v>
      </c>
      <c r="AU83" s="80"/>
    </row>
    <row r="84" spans="1:47" s="141" customFormat="1" ht="15" customHeight="1" x14ac:dyDescent="0.2">
      <c r="A84" s="380" t="str">
        <f>IF(Contents!$A$1=2,"others","прочие")</f>
        <v>прочие</v>
      </c>
      <c r="B84" s="281" t="str">
        <f>IF(Contents!$A$1=2,"mln RUB","млн руб.")</f>
        <v>млн руб.</v>
      </c>
      <c r="C84" s="140"/>
      <c r="D84" s="491">
        <v>0</v>
      </c>
      <c r="E84" s="426"/>
      <c r="F84" s="491">
        <v>0</v>
      </c>
      <c r="G84" s="491">
        <v>0</v>
      </c>
      <c r="H84" s="491">
        <v>0</v>
      </c>
      <c r="I84" s="491">
        <v>0</v>
      </c>
      <c r="J84" s="491">
        <v>0</v>
      </c>
      <c r="K84" s="426"/>
      <c r="L84" s="491">
        <v>0</v>
      </c>
      <c r="M84" s="491">
        <v>0</v>
      </c>
      <c r="N84" s="491">
        <v>0</v>
      </c>
      <c r="O84" s="491">
        <v>0</v>
      </c>
      <c r="P84" s="491">
        <v>0</v>
      </c>
      <c r="Q84" s="426"/>
      <c r="R84" s="491">
        <v>0</v>
      </c>
      <c r="S84" s="491">
        <v>0</v>
      </c>
      <c r="T84" s="491">
        <v>0</v>
      </c>
      <c r="U84" s="491">
        <v>0</v>
      </c>
      <c r="V84" s="491">
        <v>0</v>
      </c>
      <c r="W84" s="426"/>
      <c r="X84" s="491">
        <v>0</v>
      </c>
      <c r="Y84" s="491">
        <v>0</v>
      </c>
      <c r="Z84" s="491">
        <v>0</v>
      </c>
      <c r="AA84" s="491">
        <v>0</v>
      </c>
      <c r="AB84" s="491">
        <v>465853</v>
      </c>
      <c r="AC84" s="426"/>
      <c r="AD84" s="491">
        <v>103894</v>
      </c>
      <c r="AE84" s="491">
        <v>112076</v>
      </c>
      <c r="AF84" s="491">
        <v>84977</v>
      </c>
      <c r="AG84" s="491">
        <v>89053</v>
      </c>
      <c r="AH84" s="491">
        <v>390000</v>
      </c>
      <c r="AI84" s="426"/>
      <c r="AJ84" s="491">
        <v>91134</v>
      </c>
      <c r="AK84" s="491">
        <v>48734</v>
      </c>
      <c r="AL84" s="491">
        <v>43857</v>
      </c>
      <c r="AM84" s="491">
        <v>105114</v>
      </c>
      <c r="AN84" s="491">
        <v>288839</v>
      </c>
      <c r="AO84" s="491"/>
      <c r="AP84" s="491">
        <v>187717</v>
      </c>
      <c r="AQ84" s="491">
        <v>186383</v>
      </c>
      <c r="AR84" s="491">
        <v>215615</v>
      </c>
      <c r="AS84" s="491">
        <v>237249</v>
      </c>
      <c r="AT84" s="491">
        <v>826964</v>
      </c>
      <c r="AU84" s="80"/>
    </row>
    <row r="85" spans="1:47" s="141" customFormat="1" ht="15" customHeight="1" x14ac:dyDescent="0.2">
      <c r="A85" s="380"/>
      <c r="B85" s="275"/>
      <c r="C85" s="140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6"/>
      <c r="AD85" s="426"/>
      <c r="AE85" s="426"/>
      <c r="AF85" s="426"/>
      <c r="AG85" s="426"/>
      <c r="AH85" s="426"/>
      <c r="AI85" s="426"/>
      <c r="AJ85" s="426"/>
      <c r="AK85" s="426"/>
      <c r="AL85" s="426"/>
      <c r="AM85" s="426"/>
      <c r="AN85" s="426"/>
      <c r="AO85" s="426"/>
      <c r="AP85" s="426"/>
      <c r="AQ85" s="426"/>
      <c r="AR85" s="426"/>
      <c r="AS85" s="426"/>
      <c r="AT85" s="426"/>
      <c r="AU85" s="80"/>
    </row>
    <row r="86" spans="1:47" s="141" customFormat="1" ht="15" customHeight="1" x14ac:dyDescent="0.2">
      <c r="A86" s="381" t="str">
        <f>IF(Contents!$A$1=2,"Retail outside Russia","Розничная реализация за рубежом")</f>
        <v>Розничная реализация за рубежом</v>
      </c>
      <c r="B86" s="275" t="str">
        <f>IF(Contents!$A$1=2,"mln RUB","млн руб.")</f>
        <v>млн руб.</v>
      </c>
      <c r="C86" s="140"/>
      <c r="D86" s="426">
        <v>0</v>
      </c>
      <c r="E86" s="426"/>
      <c r="F86" s="426">
        <v>0</v>
      </c>
      <c r="G86" s="426">
        <v>0</v>
      </c>
      <c r="H86" s="426">
        <v>0</v>
      </c>
      <c r="I86" s="426">
        <v>0</v>
      </c>
      <c r="J86" s="426">
        <v>0</v>
      </c>
      <c r="K86" s="426"/>
      <c r="L86" s="426">
        <v>0</v>
      </c>
      <c r="M86" s="426">
        <v>0</v>
      </c>
      <c r="N86" s="426">
        <v>0</v>
      </c>
      <c r="O86" s="426">
        <v>0</v>
      </c>
      <c r="P86" s="426">
        <v>0</v>
      </c>
      <c r="Q86" s="426"/>
      <c r="R86" s="426">
        <v>0</v>
      </c>
      <c r="S86" s="426">
        <v>0</v>
      </c>
      <c r="T86" s="426">
        <v>0</v>
      </c>
      <c r="U86" s="426">
        <v>0</v>
      </c>
      <c r="V86" s="426">
        <v>0</v>
      </c>
      <c r="W86" s="426"/>
      <c r="X86" s="426">
        <v>0</v>
      </c>
      <c r="Y86" s="426">
        <v>0</v>
      </c>
      <c r="Z86" s="426">
        <v>0</v>
      </c>
      <c r="AA86" s="426">
        <v>0</v>
      </c>
      <c r="AB86" s="426">
        <v>349493</v>
      </c>
      <c r="AC86" s="426"/>
      <c r="AD86" s="426">
        <v>82134</v>
      </c>
      <c r="AE86" s="426">
        <v>88262</v>
      </c>
      <c r="AF86" s="426">
        <v>90417</v>
      </c>
      <c r="AG86" s="426">
        <v>84349</v>
      </c>
      <c r="AH86" s="426">
        <v>345162</v>
      </c>
      <c r="AI86" s="426"/>
      <c r="AJ86" s="426">
        <v>74488</v>
      </c>
      <c r="AK86" s="426">
        <v>60567</v>
      </c>
      <c r="AL86" s="426">
        <v>85153</v>
      </c>
      <c r="AM86" s="426">
        <v>82813</v>
      </c>
      <c r="AN86" s="426">
        <v>303021</v>
      </c>
      <c r="AO86" s="426"/>
      <c r="AP86" s="426">
        <v>87111</v>
      </c>
      <c r="AQ86" s="426">
        <v>100028</v>
      </c>
      <c r="AR86" s="426">
        <v>114436</v>
      </c>
      <c r="AS86" s="426">
        <v>110394</v>
      </c>
      <c r="AT86" s="426">
        <v>411969</v>
      </c>
      <c r="AU86" s="80"/>
    </row>
    <row r="87" spans="1:47" s="141" customFormat="1" ht="15" customHeight="1" x14ac:dyDescent="0.2">
      <c r="A87" s="380"/>
      <c r="B87" s="275"/>
      <c r="C87" s="140"/>
      <c r="D87" s="426"/>
      <c r="E87" s="426"/>
      <c r="F87" s="426"/>
      <c r="G87" s="426"/>
      <c r="H87" s="426"/>
      <c r="I87" s="426"/>
      <c r="J87" s="426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6"/>
      <c r="X87" s="426"/>
      <c r="Y87" s="426"/>
      <c r="Z87" s="426"/>
      <c r="AA87" s="426"/>
      <c r="AB87" s="426"/>
      <c r="AC87" s="426"/>
      <c r="AD87" s="426"/>
      <c r="AE87" s="426"/>
      <c r="AF87" s="426"/>
      <c r="AG87" s="426"/>
      <c r="AH87" s="426"/>
      <c r="AI87" s="426"/>
      <c r="AJ87" s="426"/>
      <c r="AK87" s="426"/>
      <c r="AL87" s="426"/>
      <c r="AM87" s="426"/>
      <c r="AN87" s="426"/>
      <c r="AO87" s="426"/>
      <c r="AP87" s="426"/>
      <c r="AQ87" s="426"/>
      <c r="AR87" s="426"/>
      <c r="AS87" s="426"/>
      <c r="AT87" s="426"/>
      <c r="AU87" s="80"/>
    </row>
    <row r="88" spans="1:47" s="141" customFormat="1" ht="15" customHeight="1" x14ac:dyDescent="0.2">
      <c r="A88" s="379" t="str">
        <f>IF(Contents!$A$1=2,"Wholesales in Russia","Оптовая реализация в России")</f>
        <v>Оптовая реализация в России</v>
      </c>
      <c r="B88" s="279" t="str">
        <f>IF(Contents!$A$1=2,"mln RUB","млн руб.")</f>
        <v>млн руб.</v>
      </c>
      <c r="C88" s="382"/>
      <c r="D88" s="522">
        <v>0</v>
      </c>
      <c r="E88" s="522"/>
      <c r="F88" s="522">
        <v>0</v>
      </c>
      <c r="G88" s="522">
        <v>0</v>
      </c>
      <c r="H88" s="522">
        <v>0</v>
      </c>
      <c r="I88" s="522">
        <v>0</v>
      </c>
      <c r="J88" s="522">
        <v>0</v>
      </c>
      <c r="K88" s="522"/>
      <c r="L88" s="522">
        <v>0</v>
      </c>
      <c r="M88" s="522">
        <v>0</v>
      </c>
      <c r="N88" s="522">
        <v>0</v>
      </c>
      <c r="O88" s="522">
        <v>0</v>
      </c>
      <c r="P88" s="522">
        <v>0</v>
      </c>
      <c r="Q88" s="522"/>
      <c r="R88" s="522">
        <v>0</v>
      </c>
      <c r="S88" s="522">
        <v>0</v>
      </c>
      <c r="T88" s="522">
        <v>0</v>
      </c>
      <c r="U88" s="522">
        <v>0</v>
      </c>
      <c r="V88" s="522">
        <v>0</v>
      </c>
      <c r="W88" s="522"/>
      <c r="X88" s="522">
        <v>0</v>
      </c>
      <c r="Y88" s="522">
        <v>0</v>
      </c>
      <c r="Z88" s="522">
        <v>0</v>
      </c>
      <c r="AA88" s="522">
        <v>0</v>
      </c>
      <c r="AB88" s="522">
        <v>439327</v>
      </c>
      <c r="AC88" s="522"/>
      <c r="AD88" s="522">
        <v>95749</v>
      </c>
      <c r="AE88" s="522">
        <v>116445</v>
      </c>
      <c r="AF88" s="522">
        <v>122877</v>
      </c>
      <c r="AG88" s="522">
        <v>108596</v>
      </c>
      <c r="AH88" s="522">
        <v>443667</v>
      </c>
      <c r="AI88" s="522"/>
      <c r="AJ88" s="522">
        <v>96818</v>
      </c>
      <c r="AK88" s="522">
        <v>68404</v>
      </c>
      <c r="AL88" s="522">
        <v>94013</v>
      </c>
      <c r="AM88" s="522">
        <v>81085</v>
      </c>
      <c r="AN88" s="522">
        <v>340320</v>
      </c>
      <c r="AO88" s="426"/>
      <c r="AP88" s="522">
        <v>87312</v>
      </c>
      <c r="AQ88" s="522">
        <v>123064</v>
      </c>
      <c r="AR88" s="522">
        <v>162489</v>
      </c>
      <c r="AS88" s="522">
        <v>161924</v>
      </c>
      <c r="AT88" s="522">
        <v>534789</v>
      </c>
      <c r="AU88" s="80"/>
    </row>
    <row r="89" spans="1:47" s="141" customFormat="1" ht="15" customHeight="1" x14ac:dyDescent="0.2">
      <c r="A89" s="380" t="str">
        <f>IF(Contents!$A$1=2,"diesel fuel","дизельное топливо")</f>
        <v>дизельное топливо</v>
      </c>
      <c r="B89" s="281" t="str">
        <f>IF(Contents!$A$1=2,"mln RUB","млн руб.")</f>
        <v>млн руб.</v>
      </c>
      <c r="C89" s="140"/>
      <c r="D89" s="491">
        <v>0</v>
      </c>
      <c r="E89" s="426"/>
      <c r="F89" s="491">
        <v>0</v>
      </c>
      <c r="G89" s="491">
        <v>0</v>
      </c>
      <c r="H89" s="491">
        <v>0</v>
      </c>
      <c r="I89" s="491">
        <v>0</v>
      </c>
      <c r="J89" s="491">
        <v>0</v>
      </c>
      <c r="K89" s="426"/>
      <c r="L89" s="491">
        <v>0</v>
      </c>
      <c r="M89" s="491">
        <v>0</v>
      </c>
      <c r="N89" s="491">
        <v>0</v>
      </c>
      <c r="O89" s="491">
        <v>0</v>
      </c>
      <c r="P89" s="491">
        <v>0</v>
      </c>
      <c r="Q89" s="426"/>
      <c r="R89" s="491">
        <v>0</v>
      </c>
      <c r="S89" s="491">
        <v>0</v>
      </c>
      <c r="T89" s="491">
        <v>0</v>
      </c>
      <c r="U89" s="491">
        <v>0</v>
      </c>
      <c r="V89" s="491">
        <v>0</v>
      </c>
      <c r="W89" s="426"/>
      <c r="X89" s="491">
        <v>0</v>
      </c>
      <c r="Y89" s="491">
        <v>0</v>
      </c>
      <c r="Z89" s="491">
        <v>0</v>
      </c>
      <c r="AA89" s="491">
        <v>0</v>
      </c>
      <c r="AB89" s="491">
        <v>99090</v>
      </c>
      <c r="AC89" s="426"/>
      <c r="AD89" s="491">
        <v>25304</v>
      </c>
      <c r="AE89" s="491">
        <v>30008</v>
      </c>
      <c r="AF89" s="491">
        <v>28864</v>
      </c>
      <c r="AG89" s="491">
        <v>32730</v>
      </c>
      <c r="AH89" s="491">
        <v>116906</v>
      </c>
      <c r="AI89" s="426"/>
      <c r="AJ89" s="491">
        <v>27810</v>
      </c>
      <c r="AK89" s="491">
        <v>27836</v>
      </c>
      <c r="AL89" s="491">
        <v>28645</v>
      </c>
      <c r="AM89" s="491">
        <v>26104</v>
      </c>
      <c r="AN89" s="491">
        <v>110395</v>
      </c>
      <c r="AO89" s="491"/>
      <c r="AP89" s="491">
        <v>27117</v>
      </c>
      <c r="AQ89" s="491">
        <v>33270</v>
      </c>
      <c r="AR89" s="491">
        <v>48242</v>
      </c>
      <c r="AS89" s="491">
        <v>53549</v>
      </c>
      <c r="AT89" s="491">
        <v>162178</v>
      </c>
      <c r="AU89" s="80"/>
    </row>
    <row r="90" spans="1:47" s="141" customFormat="1" ht="15" customHeight="1" x14ac:dyDescent="0.2">
      <c r="A90" s="380" t="str">
        <f>IF(Contents!$A$1=2,"motor gasoline","бензин")</f>
        <v>бензин</v>
      </c>
      <c r="B90" s="281" t="str">
        <f>IF(Contents!$A$1=2,"mln RUB","млн руб.")</f>
        <v>млн руб.</v>
      </c>
      <c r="C90" s="140"/>
      <c r="D90" s="491">
        <v>0</v>
      </c>
      <c r="E90" s="426"/>
      <c r="F90" s="491">
        <v>0</v>
      </c>
      <c r="G90" s="491">
        <v>0</v>
      </c>
      <c r="H90" s="491">
        <v>0</v>
      </c>
      <c r="I90" s="491">
        <v>0</v>
      </c>
      <c r="J90" s="491">
        <v>0</v>
      </c>
      <c r="K90" s="426"/>
      <c r="L90" s="491">
        <v>0</v>
      </c>
      <c r="M90" s="491">
        <v>0</v>
      </c>
      <c r="N90" s="491">
        <v>0</v>
      </c>
      <c r="O90" s="491">
        <v>0</v>
      </c>
      <c r="P90" s="491">
        <v>0</v>
      </c>
      <c r="Q90" s="426"/>
      <c r="R90" s="491">
        <v>0</v>
      </c>
      <c r="S90" s="491">
        <v>0</v>
      </c>
      <c r="T90" s="491">
        <v>0</v>
      </c>
      <c r="U90" s="491">
        <v>0</v>
      </c>
      <c r="V90" s="491">
        <v>0</v>
      </c>
      <c r="W90" s="426"/>
      <c r="X90" s="491">
        <v>0</v>
      </c>
      <c r="Y90" s="491">
        <v>0</v>
      </c>
      <c r="Z90" s="491">
        <v>0</v>
      </c>
      <c r="AA90" s="491">
        <v>0</v>
      </c>
      <c r="AB90" s="491">
        <v>50254</v>
      </c>
      <c r="AC90" s="426"/>
      <c r="AD90" s="491">
        <v>8986</v>
      </c>
      <c r="AE90" s="491">
        <v>11553</v>
      </c>
      <c r="AF90" s="491">
        <v>15886</v>
      </c>
      <c r="AG90" s="491">
        <v>12114</v>
      </c>
      <c r="AH90" s="491">
        <v>48539</v>
      </c>
      <c r="AI90" s="426"/>
      <c r="AJ90" s="491">
        <v>9996</v>
      </c>
      <c r="AK90" s="491">
        <v>8225</v>
      </c>
      <c r="AL90" s="491">
        <v>15411</v>
      </c>
      <c r="AM90" s="491">
        <v>10327</v>
      </c>
      <c r="AN90" s="491">
        <v>43959</v>
      </c>
      <c r="AO90" s="491"/>
      <c r="AP90" s="491">
        <v>11689</v>
      </c>
      <c r="AQ90" s="491">
        <v>21981</v>
      </c>
      <c r="AR90" s="491">
        <v>25297</v>
      </c>
      <c r="AS90" s="491">
        <v>21906</v>
      </c>
      <c r="AT90" s="491">
        <v>80873</v>
      </c>
      <c r="AU90" s="80"/>
    </row>
    <row r="91" spans="1:47" s="141" customFormat="1" ht="15" customHeight="1" x14ac:dyDescent="0.2">
      <c r="A91" s="380" t="str">
        <f>IF(Contents!$A$1=2,"fuel oil","топочный мазут")</f>
        <v>топочный мазут</v>
      </c>
      <c r="B91" s="281" t="str">
        <f>IF(Contents!$A$1=2,"mln RUB","млн руб.")</f>
        <v>млн руб.</v>
      </c>
      <c r="C91" s="140"/>
      <c r="D91" s="491">
        <v>0</v>
      </c>
      <c r="E91" s="426"/>
      <c r="F91" s="491">
        <v>0</v>
      </c>
      <c r="G91" s="491">
        <v>0</v>
      </c>
      <c r="H91" s="491">
        <v>0</v>
      </c>
      <c r="I91" s="491">
        <v>0</v>
      </c>
      <c r="J91" s="491">
        <v>0</v>
      </c>
      <c r="K91" s="426"/>
      <c r="L91" s="491">
        <v>0</v>
      </c>
      <c r="M91" s="491">
        <v>0</v>
      </c>
      <c r="N91" s="491">
        <v>0</v>
      </c>
      <c r="O91" s="491">
        <v>0</v>
      </c>
      <c r="P91" s="491">
        <v>0</v>
      </c>
      <c r="Q91" s="426"/>
      <c r="R91" s="491">
        <v>0</v>
      </c>
      <c r="S91" s="491">
        <v>0</v>
      </c>
      <c r="T91" s="491">
        <v>0</v>
      </c>
      <c r="U91" s="491">
        <v>0</v>
      </c>
      <c r="V91" s="491">
        <v>0</v>
      </c>
      <c r="W91" s="426"/>
      <c r="X91" s="491">
        <v>0</v>
      </c>
      <c r="Y91" s="491">
        <v>0</v>
      </c>
      <c r="Z91" s="491">
        <v>0</v>
      </c>
      <c r="AA91" s="491">
        <v>0</v>
      </c>
      <c r="AB91" s="491">
        <v>44070</v>
      </c>
      <c r="AC91" s="426"/>
      <c r="AD91" s="491">
        <v>8350</v>
      </c>
      <c r="AE91" s="491">
        <v>11344</v>
      </c>
      <c r="AF91" s="491">
        <v>8820</v>
      </c>
      <c r="AG91" s="491">
        <v>4610</v>
      </c>
      <c r="AH91" s="491">
        <v>33124</v>
      </c>
      <c r="AI91" s="426"/>
      <c r="AJ91" s="491">
        <v>2734</v>
      </c>
      <c r="AK91" s="491">
        <v>1049</v>
      </c>
      <c r="AL91" s="491">
        <v>2492</v>
      </c>
      <c r="AM91" s="491">
        <v>2514</v>
      </c>
      <c r="AN91" s="491">
        <v>8789</v>
      </c>
      <c r="AO91" s="491"/>
      <c r="AP91" s="491">
        <v>4267</v>
      </c>
      <c r="AQ91" s="491">
        <v>4067</v>
      </c>
      <c r="AR91" s="491">
        <v>4966</v>
      </c>
      <c r="AS91" s="491">
        <v>4398</v>
      </c>
      <c r="AT91" s="491">
        <v>17698</v>
      </c>
      <c r="AU91" s="80"/>
    </row>
    <row r="92" spans="1:47" s="141" customFormat="1" ht="15" customHeight="1" x14ac:dyDescent="0.2">
      <c r="A92" s="380" t="str">
        <f>IF(Contents!$A$1=2,"jet fuel ","реактивное топливо")</f>
        <v>реактивное топливо</v>
      </c>
      <c r="B92" s="281" t="str">
        <f>IF(Contents!$A$1=2,"mln RUB","млн руб.")</f>
        <v>млн руб.</v>
      </c>
      <c r="C92" s="140"/>
      <c r="D92" s="491">
        <v>0</v>
      </c>
      <c r="E92" s="426"/>
      <c r="F92" s="491">
        <v>0</v>
      </c>
      <c r="G92" s="491">
        <v>0</v>
      </c>
      <c r="H92" s="491">
        <v>0</v>
      </c>
      <c r="I92" s="491">
        <v>0</v>
      </c>
      <c r="J92" s="491">
        <v>0</v>
      </c>
      <c r="K92" s="426"/>
      <c r="L92" s="491">
        <v>0</v>
      </c>
      <c r="M92" s="491">
        <v>0</v>
      </c>
      <c r="N92" s="491">
        <v>0</v>
      </c>
      <c r="O92" s="491">
        <v>0</v>
      </c>
      <c r="P92" s="491">
        <v>0</v>
      </c>
      <c r="Q92" s="426"/>
      <c r="R92" s="491">
        <v>0</v>
      </c>
      <c r="S92" s="491">
        <v>0</v>
      </c>
      <c r="T92" s="491">
        <v>0</v>
      </c>
      <c r="U92" s="491">
        <v>0</v>
      </c>
      <c r="V92" s="491">
        <v>0</v>
      </c>
      <c r="W92" s="426"/>
      <c r="X92" s="491">
        <v>0</v>
      </c>
      <c r="Y92" s="491">
        <v>0</v>
      </c>
      <c r="Z92" s="491">
        <v>0</v>
      </c>
      <c r="AA92" s="491">
        <v>0</v>
      </c>
      <c r="AB92" s="491">
        <v>120042</v>
      </c>
      <c r="AC92" s="426"/>
      <c r="AD92" s="491">
        <v>27745</v>
      </c>
      <c r="AE92" s="491">
        <v>31886</v>
      </c>
      <c r="AF92" s="491">
        <v>37708</v>
      </c>
      <c r="AG92" s="491">
        <v>31333</v>
      </c>
      <c r="AH92" s="491">
        <v>128672</v>
      </c>
      <c r="AI92" s="426"/>
      <c r="AJ92" s="491">
        <v>29293</v>
      </c>
      <c r="AK92" s="491">
        <v>10849</v>
      </c>
      <c r="AL92" s="491">
        <v>20217</v>
      </c>
      <c r="AM92" s="491">
        <v>16779</v>
      </c>
      <c r="AN92" s="491">
        <v>77138</v>
      </c>
      <c r="AO92" s="491"/>
      <c r="AP92" s="491">
        <v>17412</v>
      </c>
      <c r="AQ92" s="491">
        <v>26843</v>
      </c>
      <c r="AR92" s="491">
        <v>36410</v>
      </c>
      <c r="AS92" s="491">
        <v>41802</v>
      </c>
      <c r="AT92" s="491">
        <v>122467</v>
      </c>
      <c r="AU92" s="80"/>
    </row>
    <row r="93" spans="1:47" s="141" customFormat="1" ht="15" customHeight="1" x14ac:dyDescent="0.2">
      <c r="A93" s="380" t="str">
        <f>IF(Contents!$A$1=2,"lubricants and components","масла и компоненты")</f>
        <v>масла и компоненты</v>
      </c>
      <c r="B93" s="281" t="str">
        <f>IF(Contents!$A$1=2,"mln RUB","млн руб.")</f>
        <v>млн руб.</v>
      </c>
      <c r="C93" s="140"/>
      <c r="D93" s="491">
        <v>0</v>
      </c>
      <c r="E93" s="426"/>
      <c r="F93" s="491">
        <v>0</v>
      </c>
      <c r="G93" s="491">
        <v>0</v>
      </c>
      <c r="H93" s="491">
        <v>0</v>
      </c>
      <c r="I93" s="491">
        <v>0</v>
      </c>
      <c r="J93" s="491">
        <v>0</v>
      </c>
      <c r="K93" s="426"/>
      <c r="L93" s="491">
        <v>0</v>
      </c>
      <c r="M93" s="491">
        <v>0</v>
      </c>
      <c r="N93" s="491">
        <v>0</v>
      </c>
      <c r="O93" s="491">
        <v>0</v>
      </c>
      <c r="P93" s="491">
        <v>0</v>
      </c>
      <c r="Q93" s="426"/>
      <c r="R93" s="491">
        <v>0</v>
      </c>
      <c r="S93" s="491">
        <v>0</v>
      </c>
      <c r="T93" s="491">
        <v>0</v>
      </c>
      <c r="U93" s="491">
        <v>0</v>
      </c>
      <c r="V93" s="491">
        <v>0</v>
      </c>
      <c r="W93" s="426"/>
      <c r="X93" s="491">
        <v>0</v>
      </c>
      <c r="Y93" s="491">
        <v>0</v>
      </c>
      <c r="Z93" s="491">
        <v>0</v>
      </c>
      <c r="AA93" s="491">
        <v>0</v>
      </c>
      <c r="AB93" s="491">
        <v>26236</v>
      </c>
      <c r="AC93" s="426"/>
      <c r="AD93" s="491">
        <v>5738</v>
      </c>
      <c r="AE93" s="491">
        <v>6898</v>
      </c>
      <c r="AF93" s="491">
        <v>7200</v>
      </c>
      <c r="AG93" s="491">
        <v>5429</v>
      </c>
      <c r="AH93" s="491">
        <v>25265</v>
      </c>
      <c r="AI93" s="426"/>
      <c r="AJ93" s="491">
        <v>5843</v>
      </c>
      <c r="AK93" s="491">
        <v>6113</v>
      </c>
      <c r="AL93" s="491">
        <v>7397</v>
      </c>
      <c r="AM93" s="491">
        <v>6513</v>
      </c>
      <c r="AN93" s="491">
        <v>25866</v>
      </c>
      <c r="AO93" s="491"/>
      <c r="AP93" s="491">
        <v>7211</v>
      </c>
      <c r="AQ93" s="491">
        <v>10604</v>
      </c>
      <c r="AR93" s="491">
        <v>11619</v>
      </c>
      <c r="AS93" s="491">
        <v>8771</v>
      </c>
      <c r="AT93" s="491">
        <v>38205</v>
      </c>
      <c r="AU93" s="80"/>
    </row>
    <row r="94" spans="1:47" s="141" customFormat="1" ht="15" customHeight="1" x14ac:dyDescent="0.2">
      <c r="A94" s="380" t="str">
        <f>IF(Contents!$A$1=2,"gas products","продукция газопереработки")</f>
        <v>продукция газопереработки</v>
      </c>
      <c r="B94" s="281" t="str">
        <f>IF(Contents!$A$1=2,"mln RUB","млн руб.")</f>
        <v>млн руб.</v>
      </c>
      <c r="C94" s="140"/>
      <c r="D94" s="491">
        <v>0</v>
      </c>
      <c r="E94" s="426"/>
      <c r="F94" s="491">
        <v>0</v>
      </c>
      <c r="G94" s="491">
        <v>0</v>
      </c>
      <c r="H94" s="491">
        <v>0</v>
      </c>
      <c r="I94" s="491">
        <v>0</v>
      </c>
      <c r="J94" s="491">
        <v>0</v>
      </c>
      <c r="K94" s="426"/>
      <c r="L94" s="491">
        <v>0</v>
      </c>
      <c r="M94" s="491">
        <v>0</v>
      </c>
      <c r="N94" s="491">
        <v>0</v>
      </c>
      <c r="O94" s="491">
        <v>0</v>
      </c>
      <c r="P94" s="491">
        <v>0</v>
      </c>
      <c r="Q94" s="426"/>
      <c r="R94" s="491">
        <v>0</v>
      </c>
      <c r="S94" s="491">
        <v>0</v>
      </c>
      <c r="T94" s="491">
        <v>0</v>
      </c>
      <c r="U94" s="491">
        <v>0</v>
      </c>
      <c r="V94" s="491">
        <v>0</v>
      </c>
      <c r="W94" s="426"/>
      <c r="X94" s="491">
        <v>0</v>
      </c>
      <c r="Y94" s="491">
        <v>0</v>
      </c>
      <c r="Z94" s="491">
        <v>0</v>
      </c>
      <c r="AA94" s="491">
        <v>0</v>
      </c>
      <c r="AB94" s="491">
        <v>14839</v>
      </c>
      <c r="AC94" s="426"/>
      <c r="AD94" s="491">
        <v>2475</v>
      </c>
      <c r="AE94" s="491">
        <v>3088</v>
      </c>
      <c r="AF94" s="491">
        <v>2675</v>
      </c>
      <c r="AG94" s="491">
        <v>2665</v>
      </c>
      <c r="AH94" s="491">
        <v>10903</v>
      </c>
      <c r="AI94" s="426"/>
      <c r="AJ94" s="491">
        <v>2301</v>
      </c>
      <c r="AK94" s="491">
        <v>1783</v>
      </c>
      <c r="AL94" s="491">
        <v>3683</v>
      </c>
      <c r="AM94" s="491">
        <v>4038</v>
      </c>
      <c r="AN94" s="491">
        <v>11805</v>
      </c>
      <c r="AO94" s="491"/>
      <c r="AP94" s="491">
        <v>3390</v>
      </c>
      <c r="AQ94" s="491">
        <v>3540</v>
      </c>
      <c r="AR94" s="491">
        <v>5639</v>
      </c>
      <c r="AS94" s="491">
        <v>3930</v>
      </c>
      <c r="AT94" s="491">
        <v>16499</v>
      </c>
      <c r="AU94" s="80"/>
    </row>
    <row r="95" spans="1:47" s="141" customFormat="1" ht="15" customHeight="1" x14ac:dyDescent="0.2">
      <c r="A95" s="380" t="str">
        <f>IF(Contents!$A$1=2,"others","прочие")</f>
        <v>прочие</v>
      </c>
      <c r="B95" s="281" t="str">
        <f>IF(Contents!$A$1=2,"mln RUB","млн руб.")</f>
        <v>млн руб.</v>
      </c>
      <c r="C95" s="140"/>
      <c r="D95" s="491">
        <v>0</v>
      </c>
      <c r="E95" s="426"/>
      <c r="F95" s="491">
        <v>0</v>
      </c>
      <c r="G95" s="491">
        <v>0</v>
      </c>
      <c r="H95" s="491">
        <v>0</v>
      </c>
      <c r="I95" s="491">
        <v>0</v>
      </c>
      <c r="J95" s="491">
        <v>0</v>
      </c>
      <c r="K95" s="426"/>
      <c r="L95" s="491">
        <v>0</v>
      </c>
      <c r="M95" s="491">
        <v>0</v>
      </c>
      <c r="N95" s="491">
        <v>0</v>
      </c>
      <c r="O95" s="491">
        <v>0</v>
      </c>
      <c r="P95" s="491">
        <v>0</v>
      </c>
      <c r="Q95" s="426"/>
      <c r="R95" s="491">
        <v>0</v>
      </c>
      <c r="S95" s="491">
        <v>0</v>
      </c>
      <c r="T95" s="491">
        <v>0</v>
      </c>
      <c r="U95" s="491">
        <v>0</v>
      </c>
      <c r="V95" s="491">
        <v>0</v>
      </c>
      <c r="W95" s="426"/>
      <c r="X95" s="491">
        <v>0</v>
      </c>
      <c r="Y95" s="491">
        <v>0</v>
      </c>
      <c r="Z95" s="491">
        <v>0</v>
      </c>
      <c r="AA95" s="491">
        <v>0</v>
      </c>
      <c r="AB95" s="491">
        <v>84796</v>
      </c>
      <c r="AC95" s="426"/>
      <c r="AD95" s="491">
        <v>17151</v>
      </c>
      <c r="AE95" s="491">
        <v>21668</v>
      </c>
      <c r="AF95" s="491">
        <v>21724</v>
      </c>
      <c r="AG95" s="491">
        <v>19715</v>
      </c>
      <c r="AH95" s="491">
        <v>80258</v>
      </c>
      <c r="AI95" s="426"/>
      <c r="AJ95" s="491">
        <v>18841</v>
      </c>
      <c r="AK95" s="491">
        <v>12549</v>
      </c>
      <c r="AL95" s="491">
        <v>16168</v>
      </c>
      <c r="AM95" s="491">
        <v>14810</v>
      </c>
      <c r="AN95" s="491">
        <v>62368</v>
      </c>
      <c r="AO95" s="491"/>
      <c r="AP95" s="491">
        <v>16226</v>
      </c>
      <c r="AQ95" s="491">
        <v>22759</v>
      </c>
      <c r="AR95" s="491">
        <v>30316</v>
      </c>
      <c r="AS95" s="491">
        <v>27568</v>
      </c>
      <c r="AT95" s="491">
        <v>96869</v>
      </c>
      <c r="AU95" s="80"/>
    </row>
    <row r="96" spans="1:47" s="141" customFormat="1" ht="15" customHeight="1" x14ac:dyDescent="0.25">
      <c r="A96" s="224"/>
      <c r="B96" s="275"/>
      <c r="C96" s="140"/>
      <c r="D96" s="426"/>
      <c r="E96" s="426"/>
      <c r="F96" s="426"/>
      <c r="G96" s="426"/>
      <c r="H96" s="426"/>
      <c r="I96" s="426"/>
      <c r="J96" s="426"/>
      <c r="K96" s="426"/>
      <c r="L96" s="426"/>
      <c r="M96" s="426"/>
      <c r="N96" s="426"/>
      <c r="O96" s="426"/>
      <c r="P96" s="426"/>
      <c r="Q96" s="426"/>
      <c r="R96" s="426"/>
      <c r="S96" s="426"/>
      <c r="T96" s="426"/>
      <c r="U96" s="426"/>
      <c r="V96" s="426"/>
      <c r="W96" s="426"/>
      <c r="X96" s="426"/>
      <c r="Y96" s="426"/>
      <c r="Z96" s="426"/>
      <c r="AA96" s="426"/>
      <c r="AB96" s="426"/>
      <c r="AC96" s="426"/>
      <c r="AD96" s="426"/>
      <c r="AE96" s="426"/>
      <c r="AF96" s="426"/>
      <c r="AG96" s="426"/>
      <c r="AH96" s="426"/>
      <c r="AI96" s="426"/>
      <c r="AJ96" s="426"/>
      <c r="AK96" s="426"/>
      <c r="AL96" s="426"/>
      <c r="AM96" s="426"/>
      <c r="AN96" s="426"/>
      <c r="AO96" s="426"/>
      <c r="AP96" s="426"/>
      <c r="AQ96" s="426"/>
      <c r="AR96" s="426"/>
      <c r="AS96" s="426"/>
      <c r="AT96" s="426"/>
      <c r="AU96" s="80"/>
    </row>
    <row r="97" spans="1:47" s="141" customFormat="1" ht="15" customHeight="1" x14ac:dyDescent="0.2">
      <c r="A97" s="383" t="str">
        <f>IF(Contents!$A$1=2,"Retail in Russia","Розничная реализация в России")</f>
        <v>Розничная реализация в России</v>
      </c>
      <c r="B97" s="275" t="str">
        <f>IF(Contents!$A$1=2,"mln RUB","млн руб.")</f>
        <v>млн руб.</v>
      </c>
      <c r="C97" s="140"/>
      <c r="D97" s="426">
        <v>0</v>
      </c>
      <c r="E97" s="426"/>
      <c r="F97" s="426">
        <v>0</v>
      </c>
      <c r="G97" s="426">
        <v>0</v>
      </c>
      <c r="H97" s="426">
        <v>0</v>
      </c>
      <c r="I97" s="426">
        <v>0</v>
      </c>
      <c r="J97" s="426">
        <v>0</v>
      </c>
      <c r="K97" s="426"/>
      <c r="L97" s="426">
        <v>0</v>
      </c>
      <c r="M97" s="426">
        <v>0</v>
      </c>
      <c r="N97" s="426">
        <v>0</v>
      </c>
      <c r="O97" s="426">
        <v>0</v>
      </c>
      <c r="P97" s="426">
        <v>0</v>
      </c>
      <c r="Q97" s="426"/>
      <c r="R97" s="426">
        <v>0</v>
      </c>
      <c r="S97" s="426">
        <v>0</v>
      </c>
      <c r="T97" s="426">
        <v>0</v>
      </c>
      <c r="U97" s="426">
        <v>0</v>
      </c>
      <c r="V97" s="426">
        <v>0</v>
      </c>
      <c r="W97" s="426"/>
      <c r="X97" s="426">
        <v>0</v>
      </c>
      <c r="Y97" s="426">
        <v>0</v>
      </c>
      <c r="Z97" s="426">
        <v>0</v>
      </c>
      <c r="AA97" s="426">
        <v>0</v>
      </c>
      <c r="AB97" s="426">
        <v>498765</v>
      </c>
      <c r="AC97" s="426"/>
      <c r="AD97" s="426">
        <v>111421</v>
      </c>
      <c r="AE97" s="426">
        <v>118393</v>
      </c>
      <c r="AF97" s="426">
        <v>129894</v>
      </c>
      <c r="AG97" s="426">
        <v>120340</v>
      </c>
      <c r="AH97" s="426">
        <v>480048</v>
      </c>
      <c r="AI97" s="426"/>
      <c r="AJ97" s="426">
        <v>106686</v>
      </c>
      <c r="AK97" s="426">
        <v>93474</v>
      </c>
      <c r="AL97" s="426">
        <v>129610</v>
      </c>
      <c r="AM97" s="426">
        <v>115573</v>
      </c>
      <c r="AN97" s="426">
        <v>445343</v>
      </c>
      <c r="AO97" s="426"/>
      <c r="AP97" s="426">
        <v>106347</v>
      </c>
      <c r="AQ97" s="426">
        <v>122092</v>
      </c>
      <c r="AR97" s="426">
        <v>141528</v>
      </c>
      <c r="AS97" s="426">
        <v>138311</v>
      </c>
      <c r="AT97" s="426">
        <v>508278</v>
      </c>
      <c r="AU97" s="80"/>
    </row>
    <row r="98" spans="1:47" s="141" customFormat="1" ht="15" customHeight="1" x14ac:dyDescent="0.25">
      <c r="A98" s="17"/>
      <c r="B98" s="275"/>
      <c r="C98" s="140"/>
      <c r="D98" s="426"/>
      <c r="E98" s="426"/>
      <c r="F98" s="426"/>
      <c r="G98" s="426"/>
      <c r="H98" s="426"/>
      <c r="I98" s="426"/>
      <c r="J98" s="426"/>
      <c r="K98" s="426"/>
      <c r="L98" s="426"/>
      <c r="M98" s="426"/>
      <c r="N98" s="426"/>
      <c r="O98" s="426"/>
      <c r="P98" s="426"/>
      <c r="Q98" s="426"/>
      <c r="R98" s="426"/>
      <c r="S98" s="426"/>
      <c r="T98" s="426"/>
      <c r="U98" s="426"/>
      <c r="V98" s="426"/>
      <c r="W98" s="426"/>
      <c r="X98" s="426"/>
      <c r="Y98" s="426"/>
      <c r="Z98" s="426"/>
      <c r="AA98" s="426"/>
      <c r="AB98" s="426"/>
      <c r="AC98" s="426"/>
      <c r="AD98" s="426"/>
      <c r="AE98" s="426"/>
      <c r="AF98" s="426"/>
      <c r="AG98" s="426"/>
      <c r="AH98" s="426"/>
      <c r="AI98" s="426"/>
      <c r="AJ98" s="426"/>
      <c r="AK98" s="426"/>
      <c r="AL98" s="426"/>
      <c r="AM98" s="426"/>
      <c r="AN98" s="426"/>
      <c r="AO98" s="426"/>
      <c r="AP98" s="426"/>
      <c r="AQ98" s="426"/>
      <c r="AR98" s="426"/>
      <c r="AS98" s="426"/>
      <c r="AT98" s="426"/>
      <c r="AU98" s="80"/>
    </row>
    <row r="99" spans="1:47" s="141" customFormat="1" ht="15" customHeight="1" x14ac:dyDescent="0.2">
      <c r="A99" s="383" t="str">
        <f>IF(Contents!$A$1=2,"Total refined products sales ","Продажи нефтепродуктов, всего")</f>
        <v>Продажи нефтепродуктов, всего</v>
      </c>
      <c r="B99" s="275" t="str">
        <f>IF(Contents!$A$1=2,"mln RUB","млн руб.")</f>
        <v>млн руб.</v>
      </c>
      <c r="C99" s="140"/>
      <c r="D99" s="426">
        <v>0</v>
      </c>
      <c r="E99" s="426"/>
      <c r="F99" s="426">
        <v>0</v>
      </c>
      <c r="G99" s="426">
        <v>0</v>
      </c>
      <c r="H99" s="426">
        <v>0</v>
      </c>
      <c r="I99" s="426">
        <v>0</v>
      </c>
      <c r="J99" s="426">
        <v>0</v>
      </c>
      <c r="K99" s="426"/>
      <c r="L99" s="426">
        <v>0</v>
      </c>
      <c r="M99" s="426">
        <v>0</v>
      </c>
      <c r="N99" s="426">
        <v>0</v>
      </c>
      <c r="O99" s="426">
        <v>0</v>
      </c>
      <c r="P99" s="426">
        <v>0</v>
      </c>
      <c r="Q99" s="426"/>
      <c r="R99" s="426">
        <v>0</v>
      </c>
      <c r="S99" s="426">
        <v>0</v>
      </c>
      <c r="T99" s="426">
        <v>0</v>
      </c>
      <c r="U99" s="426">
        <v>0</v>
      </c>
      <c r="V99" s="426">
        <v>0</v>
      </c>
      <c r="W99" s="426"/>
      <c r="X99" s="426">
        <v>0</v>
      </c>
      <c r="Y99" s="426">
        <v>0</v>
      </c>
      <c r="Z99" s="426">
        <v>0</v>
      </c>
      <c r="AA99" s="426">
        <v>0</v>
      </c>
      <c r="AB99" s="426">
        <v>4899876</v>
      </c>
      <c r="AC99" s="426"/>
      <c r="AD99" s="426">
        <v>1102765</v>
      </c>
      <c r="AE99" s="426">
        <v>1261994</v>
      </c>
      <c r="AF99" s="426">
        <v>1183218</v>
      </c>
      <c r="AG99" s="426">
        <v>1124102</v>
      </c>
      <c r="AH99" s="426">
        <v>4672079</v>
      </c>
      <c r="AI99" s="426"/>
      <c r="AJ99" s="426">
        <v>923791</v>
      </c>
      <c r="AK99" s="426">
        <v>606224</v>
      </c>
      <c r="AL99" s="426">
        <v>864051</v>
      </c>
      <c r="AM99" s="426">
        <v>940558</v>
      </c>
      <c r="AN99" s="426">
        <v>3334623</v>
      </c>
      <c r="AO99" s="426"/>
      <c r="AP99" s="426">
        <v>1076140</v>
      </c>
      <c r="AQ99" s="426">
        <v>1247475</v>
      </c>
      <c r="AR99" s="426">
        <v>1437283</v>
      </c>
      <c r="AS99" s="426">
        <v>1543853</v>
      </c>
      <c r="AT99" s="426">
        <v>5304751</v>
      </c>
      <c r="AU99" s="80"/>
    </row>
    <row r="100" spans="1:47" s="141" customFormat="1" ht="15" customHeight="1" x14ac:dyDescent="0.2">
      <c r="A100" s="140"/>
      <c r="B100" s="275"/>
      <c r="C100" s="140"/>
      <c r="D100" s="19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U100" s="80"/>
    </row>
    <row r="101" spans="1:47" s="141" customFormat="1" ht="15" customHeight="1" x14ac:dyDescent="0.2">
      <c r="A101" s="140"/>
      <c r="B101" s="275"/>
      <c r="C101" s="140"/>
      <c r="D101" s="19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U101" s="80"/>
    </row>
    <row r="102" spans="1:47" s="141" customFormat="1" ht="15" customHeight="1" x14ac:dyDescent="0.2">
      <c r="A102" s="69" t="str">
        <f>IF(Contents!$A$1=2,"Sales volumes","Объёмы продаж")</f>
        <v>Объёмы продаж</v>
      </c>
      <c r="B102" s="275"/>
      <c r="C102" s="140"/>
      <c r="D102" s="19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U102" s="80"/>
    </row>
    <row r="103" spans="1:47" s="141" customFormat="1" ht="15" customHeight="1" x14ac:dyDescent="0.2">
      <c r="A103" s="140"/>
      <c r="B103" s="275"/>
      <c r="C103" s="140"/>
      <c r="D103" s="19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U103" s="80"/>
    </row>
    <row r="104" spans="1:47" s="206" customFormat="1" ht="15" customHeight="1" x14ac:dyDescent="0.2">
      <c r="A104" s="75"/>
      <c r="B104" s="313"/>
      <c r="C104" s="16"/>
      <c r="D104" s="317">
        <v>2014</v>
      </c>
      <c r="E104" s="324"/>
      <c r="F104" s="325" t="str">
        <f>IF(Contents!$A$1=2,"1Q","1 кв")</f>
        <v>1 кв</v>
      </c>
      <c r="G104" s="325" t="str">
        <f>IF(Contents!$A$1=2,"2Q","2 кв")</f>
        <v>2 кв</v>
      </c>
      <c r="H104" s="325" t="str">
        <f>IF(Contents!$A$1=2,"3Q","3 кв")</f>
        <v>3 кв</v>
      </c>
      <c r="I104" s="325" t="str">
        <f>IF(Contents!$A$1=2,"4Q","4 кв")</f>
        <v>4 кв</v>
      </c>
      <c r="J104" s="317">
        <v>2015</v>
      </c>
      <c r="K104" s="324"/>
      <c r="L104" s="325" t="str">
        <f>IF(Contents!$A$1=2,"1Q","1 кв")</f>
        <v>1 кв</v>
      </c>
      <c r="M104" s="325" t="str">
        <f>IF(Contents!$A$1=2,"2Q","2 кв")</f>
        <v>2 кв</v>
      </c>
      <c r="N104" s="325" t="str">
        <f>IF(Contents!$A$1=2,"3Q","3 кв")</f>
        <v>3 кв</v>
      </c>
      <c r="O104" s="325" t="str">
        <f>IF(Contents!$A$1=2,"4Q","4 кв")</f>
        <v>4 кв</v>
      </c>
      <c r="P104" s="317">
        <v>2016</v>
      </c>
      <c r="Q104" s="324"/>
      <c r="R104" s="325" t="str">
        <f>IF(Contents!$A$1=2,"1Q","1 кв")</f>
        <v>1 кв</v>
      </c>
      <c r="S104" s="325" t="str">
        <f>IF(Contents!$A$1=2,"2Q","2 кв")</f>
        <v>2 кв</v>
      </c>
      <c r="T104" s="325" t="str">
        <f>IF(Contents!$A$1=2,"3Q","3 кв")</f>
        <v>3 кв</v>
      </c>
      <c r="U104" s="325" t="str">
        <f>IF(Contents!$A$1=2,"4Q","4 кв")</f>
        <v>4 кв</v>
      </c>
      <c r="V104" s="326">
        <v>2017</v>
      </c>
      <c r="W104" s="328"/>
      <c r="X104" s="325" t="str">
        <f>IF(Contents!$A$1=2,"1Q","1 кв")</f>
        <v>1 кв</v>
      </c>
      <c r="Y104" s="325" t="str">
        <f>IF(Contents!$A$1=2,"2Q","2 кв")</f>
        <v>2 кв</v>
      </c>
      <c r="Z104" s="325" t="str">
        <f>IF(Contents!$A$1=2,"3Q","3 кв")</f>
        <v>3 кв</v>
      </c>
      <c r="AA104" s="325" t="str">
        <f>IF(Contents!$A$1=2,"4Q","4 кв")</f>
        <v>4 кв</v>
      </c>
      <c r="AB104" s="326">
        <v>2018</v>
      </c>
      <c r="AC104" s="328"/>
      <c r="AD104" s="325" t="str">
        <f>IF(Contents!$A$1=2,"1Q","1 кв")</f>
        <v>1 кв</v>
      </c>
      <c r="AE104" s="325" t="str">
        <f>IF(Contents!$A$1=2,"2Q","2 кв")</f>
        <v>2 кв</v>
      </c>
      <c r="AF104" s="325" t="str">
        <f>IF(Contents!$A$1=2,"3Q","3 кв")</f>
        <v>3 кв</v>
      </c>
      <c r="AG104" s="325" t="str">
        <f>IF(Contents!$A$1=2,"4Q","4 кв")</f>
        <v>4 кв</v>
      </c>
      <c r="AH104" s="326">
        <v>2019</v>
      </c>
      <c r="AI104" s="328"/>
      <c r="AJ104" s="325" t="str">
        <f>IF(Contents!$A$1=2,"1Q","1 кв")</f>
        <v>1 кв</v>
      </c>
      <c r="AK104" s="325" t="str">
        <f>IF(Contents!$A$1=2,"2Q","2 кв")</f>
        <v>2 кв</v>
      </c>
      <c r="AL104" s="325" t="str">
        <f>IF(Contents!$A$1=2,"3Q","3 кв")</f>
        <v>3 кв</v>
      </c>
      <c r="AM104" s="325" t="str">
        <f>IF(Contents!$A$1=2,"4Q","4 кв")</f>
        <v>4 кв</v>
      </c>
      <c r="AN104" s="326">
        <v>2020</v>
      </c>
      <c r="AO104" s="328"/>
      <c r="AP104" s="325" t="str">
        <f>IF(Contents!$A$1=2,"1Q","1 кв")</f>
        <v>1 кв</v>
      </c>
      <c r="AQ104" s="325" t="str">
        <f>IF(Contents!$A$1=2,"2Q","2 кв")</f>
        <v>2 кв</v>
      </c>
      <c r="AR104" s="325" t="str">
        <f>IF(Contents!$A$1=2,"3Q","3 кв")</f>
        <v>3 кв</v>
      </c>
      <c r="AS104" s="325" t="str">
        <f>IF(Contents!$A$1=2,"4Q","4 кв")</f>
        <v>4 кв</v>
      </c>
      <c r="AT104" s="326">
        <v>2021</v>
      </c>
      <c r="AU104" s="80"/>
    </row>
    <row r="105" spans="1:47" s="206" customFormat="1" ht="15" customHeight="1" x14ac:dyDescent="0.2">
      <c r="A105" s="379" t="str">
        <f>IF(Contents!$A$1=2,"Wholesales outside Russia","Оптовая реализация за рубежом")</f>
        <v>Оптовая реализация за рубежом</v>
      </c>
      <c r="B105" s="305" t="str">
        <f>IF(Contents!$A$1=2,"th. t","тыс. т")</f>
        <v>тыс. т</v>
      </c>
      <c r="C105" s="386"/>
      <c r="D105" s="522">
        <v>0</v>
      </c>
      <c r="E105" s="522"/>
      <c r="F105" s="522">
        <v>0</v>
      </c>
      <c r="G105" s="522">
        <v>0</v>
      </c>
      <c r="H105" s="522">
        <v>0</v>
      </c>
      <c r="I105" s="522">
        <v>0</v>
      </c>
      <c r="J105" s="522">
        <v>0</v>
      </c>
      <c r="K105" s="522"/>
      <c r="L105" s="522">
        <v>0</v>
      </c>
      <c r="M105" s="522">
        <v>0</v>
      </c>
      <c r="N105" s="522">
        <v>0</v>
      </c>
      <c r="O105" s="522">
        <v>0</v>
      </c>
      <c r="P105" s="522">
        <v>0</v>
      </c>
      <c r="Q105" s="522"/>
      <c r="R105" s="522">
        <v>0</v>
      </c>
      <c r="S105" s="522">
        <v>0</v>
      </c>
      <c r="T105" s="522">
        <v>0</v>
      </c>
      <c r="U105" s="522">
        <v>0</v>
      </c>
      <c r="V105" s="522">
        <v>0</v>
      </c>
      <c r="W105" s="522"/>
      <c r="X105" s="522">
        <v>0</v>
      </c>
      <c r="Y105" s="522">
        <v>0</v>
      </c>
      <c r="Z105" s="522">
        <v>0</v>
      </c>
      <c r="AA105" s="522">
        <v>0</v>
      </c>
      <c r="AB105" s="522">
        <v>93676</v>
      </c>
      <c r="AC105" s="522"/>
      <c r="AD105" s="522">
        <v>21927</v>
      </c>
      <c r="AE105" s="522">
        <v>24871</v>
      </c>
      <c r="AF105" s="522">
        <v>23172</v>
      </c>
      <c r="AG105" s="522">
        <v>22422</v>
      </c>
      <c r="AH105" s="522">
        <v>92392</v>
      </c>
      <c r="AI105" s="522"/>
      <c r="AJ105" s="522">
        <v>20709</v>
      </c>
      <c r="AK105" s="522">
        <v>18114</v>
      </c>
      <c r="AL105" s="522">
        <v>19569</v>
      </c>
      <c r="AM105" s="522">
        <v>21703</v>
      </c>
      <c r="AN105" s="522">
        <v>80096</v>
      </c>
      <c r="AO105" s="426"/>
      <c r="AP105" s="522">
        <v>20292</v>
      </c>
      <c r="AQ105" s="522">
        <v>20481</v>
      </c>
      <c r="AR105" s="522">
        <v>21020</v>
      </c>
      <c r="AS105" s="522">
        <v>21288</v>
      </c>
      <c r="AT105" s="522">
        <v>83081</v>
      </c>
      <c r="AU105" s="80"/>
    </row>
    <row r="106" spans="1:47" s="206" customFormat="1" ht="15" customHeight="1" x14ac:dyDescent="0.2">
      <c r="A106" s="380" t="str">
        <f>IF(Contents!$A$1=2,"diesel fuel","дизельное топливо")</f>
        <v>дизельное топливо</v>
      </c>
      <c r="B106" s="280" t="str">
        <f>IF(Contents!$A$1=2,"th. t","тыс. т")</f>
        <v>тыс. т</v>
      </c>
      <c r="C106" s="16"/>
      <c r="D106" s="491">
        <v>0</v>
      </c>
      <c r="E106" s="426"/>
      <c r="F106" s="491">
        <v>0</v>
      </c>
      <c r="G106" s="491">
        <v>0</v>
      </c>
      <c r="H106" s="491">
        <v>0</v>
      </c>
      <c r="I106" s="491">
        <v>0</v>
      </c>
      <c r="J106" s="491">
        <v>0</v>
      </c>
      <c r="K106" s="426"/>
      <c r="L106" s="491">
        <v>0</v>
      </c>
      <c r="M106" s="491">
        <v>0</v>
      </c>
      <c r="N106" s="491">
        <v>0</v>
      </c>
      <c r="O106" s="491">
        <v>0</v>
      </c>
      <c r="P106" s="491">
        <v>0</v>
      </c>
      <c r="Q106" s="426"/>
      <c r="R106" s="491">
        <v>0</v>
      </c>
      <c r="S106" s="491">
        <v>0</v>
      </c>
      <c r="T106" s="491">
        <v>0</v>
      </c>
      <c r="U106" s="491">
        <v>0</v>
      </c>
      <c r="V106" s="491">
        <v>0</v>
      </c>
      <c r="W106" s="426"/>
      <c r="X106" s="491">
        <v>0</v>
      </c>
      <c r="Y106" s="491">
        <v>0</v>
      </c>
      <c r="Z106" s="491">
        <v>0</v>
      </c>
      <c r="AA106" s="491">
        <v>0</v>
      </c>
      <c r="AB106" s="491">
        <v>36455</v>
      </c>
      <c r="AC106" s="426"/>
      <c r="AD106" s="491">
        <v>9503</v>
      </c>
      <c r="AE106" s="491">
        <v>10103</v>
      </c>
      <c r="AF106" s="491">
        <v>9759</v>
      </c>
      <c r="AG106" s="491">
        <v>9637</v>
      </c>
      <c r="AH106" s="491">
        <v>39002</v>
      </c>
      <c r="AI106" s="426"/>
      <c r="AJ106" s="491">
        <v>8001</v>
      </c>
      <c r="AK106" s="491">
        <v>6638</v>
      </c>
      <c r="AL106" s="491">
        <v>7310</v>
      </c>
      <c r="AM106" s="491">
        <v>7795</v>
      </c>
      <c r="AN106" s="491">
        <v>29745</v>
      </c>
      <c r="AO106" s="491"/>
      <c r="AP106" s="491">
        <v>6786</v>
      </c>
      <c r="AQ106" s="491">
        <v>7743</v>
      </c>
      <c r="AR106" s="491">
        <v>7461</v>
      </c>
      <c r="AS106" s="491">
        <v>7202</v>
      </c>
      <c r="AT106" s="491">
        <v>29192</v>
      </c>
      <c r="AU106" s="80"/>
    </row>
    <row r="107" spans="1:47" s="206" customFormat="1" ht="15" customHeight="1" x14ac:dyDescent="0.2">
      <c r="A107" s="380" t="str">
        <f>IF(Contents!$A$1=2,"motor gasoline","бензин")</f>
        <v>бензин</v>
      </c>
      <c r="B107" s="280" t="str">
        <f>IF(Contents!$A$1=2,"th. t","тыс. т")</f>
        <v>тыс. т</v>
      </c>
      <c r="C107" s="16"/>
      <c r="D107" s="491">
        <v>0</v>
      </c>
      <c r="E107" s="426"/>
      <c r="F107" s="491">
        <v>0</v>
      </c>
      <c r="G107" s="491">
        <v>0</v>
      </c>
      <c r="H107" s="491">
        <v>0</v>
      </c>
      <c r="I107" s="491">
        <v>0</v>
      </c>
      <c r="J107" s="491">
        <v>0</v>
      </c>
      <c r="K107" s="426"/>
      <c r="L107" s="491">
        <v>0</v>
      </c>
      <c r="M107" s="491">
        <v>0</v>
      </c>
      <c r="N107" s="491">
        <v>0</v>
      </c>
      <c r="O107" s="491">
        <v>0</v>
      </c>
      <c r="P107" s="491">
        <v>0</v>
      </c>
      <c r="Q107" s="426"/>
      <c r="R107" s="491">
        <v>0</v>
      </c>
      <c r="S107" s="491">
        <v>0</v>
      </c>
      <c r="T107" s="491">
        <v>0</v>
      </c>
      <c r="U107" s="491">
        <v>0</v>
      </c>
      <c r="V107" s="491">
        <v>0</v>
      </c>
      <c r="W107" s="426"/>
      <c r="X107" s="491">
        <v>0</v>
      </c>
      <c r="Y107" s="491">
        <v>0</v>
      </c>
      <c r="Z107" s="491">
        <v>0</v>
      </c>
      <c r="AA107" s="491">
        <v>0</v>
      </c>
      <c r="AB107" s="491">
        <v>16806</v>
      </c>
      <c r="AC107" s="426"/>
      <c r="AD107" s="491">
        <v>3158</v>
      </c>
      <c r="AE107" s="491">
        <v>4159</v>
      </c>
      <c r="AF107" s="491">
        <v>4160</v>
      </c>
      <c r="AG107" s="491">
        <v>3538</v>
      </c>
      <c r="AH107" s="491">
        <v>15015</v>
      </c>
      <c r="AI107" s="426"/>
      <c r="AJ107" s="491">
        <v>3459</v>
      </c>
      <c r="AK107" s="491">
        <v>2535</v>
      </c>
      <c r="AL107" s="491">
        <v>4284</v>
      </c>
      <c r="AM107" s="491">
        <v>3648</v>
      </c>
      <c r="AN107" s="491">
        <v>13926</v>
      </c>
      <c r="AO107" s="491"/>
      <c r="AP107" s="491">
        <v>3268</v>
      </c>
      <c r="AQ107" s="491">
        <v>3643</v>
      </c>
      <c r="AR107" s="491">
        <v>3949</v>
      </c>
      <c r="AS107" s="491">
        <v>4203</v>
      </c>
      <c r="AT107" s="491">
        <v>15063</v>
      </c>
      <c r="AU107" s="80"/>
    </row>
    <row r="108" spans="1:47" s="206" customFormat="1" ht="15" customHeight="1" x14ac:dyDescent="0.2">
      <c r="A108" s="380" t="str">
        <f>IF(Contents!$A$1=2,"fuel oil","топочный мазут")</f>
        <v>топочный мазут</v>
      </c>
      <c r="B108" s="280" t="str">
        <f>IF(Contents!$A$1=2,"th. t","тыс. т")</f>
        <v>тыс. т</v>
      </c>
      <c r="C108" s="16"/>
      <c r="D108" s="491">
        <v>0</v>
      </c>
      <c r="E108" s="426"/>
      <c r="F108" s="491">
        <v>0</v>
      </c>
      <c r="G108" s="491">
        <v>0</v>
      </c>
      <c r="H108" s="491">
        <v>0</v>
      </c>
      <c r="I108" s="491">
        <v>0</v>
      </c>
      <c r="J108" s="491">
        <v>0</v>
      </c>
      <c r="K108" s="426"/>
      <c r="L108" s="491">
        <v>0</v>
      </c>
      <c r="M108" s="491">
        <v>0</v>
      </c>
      <c r="N108" s="491">
        <v>0</v>
      </c>
      <c r="O108" s="491">
        <v>0</v>
      </c>
      <c r="P108" s="491">
        <v>0</v>
      </c>
      <c r="Q108" s="426"/>
      <c r="R108" s="491">
        <v>0</v>
      </c>
      <c r="S108" s="491">
        <v>0</v>
      </c>
      <c r="T108" s="491">
        <v>0</v>
      </c>
      <c r="U108" s="491">
        <v>0</v>
      </c>
      <c r="V108" s="491">
        <v>0</v>
      </c>
      <c r="W108" s="426"/>
      <c r="X108" s="491">
        <v>0</v>
      </c>
      <c r="Y108" s="491">
        <v>0</v>
      </c>
      <c r="Z108" s="491">
        <v>0</v>
      </c>
      <c r="AA108" s="491">
        <v>0</v>
      </c>
      <c r="AB108" s="491">
        <v>20733</v>
      </c>
      <c r="AC108" s="426"/>
      <c r="AD108" s="491">
        <v>4259</v>
      </c>
      <c r="AE108" s="491">
        <v>5819</v>
      </c>
      <c r="AF108" s="491">
        <v>4840</v>
      </c>
      <c r="AG108" s="491">
        <v>5203</v>
      </c>
      <c r="AH108" s="491">
        <v>20121</v>
      </c>
      <c r="AI108" s="426"/>
      <c r="AJ108" s="491">
        <v>4376</v>
      </c>
      <c r="AK108" s="491">
        <v>5229</v>
      </c>
      <c r="AL108" s="491">
        <v>5410</v>
      </c>
      <c r="AM108" s="491">
        <v>5400</v>
      </c>
      <c r="AN108" s="491">
        <v>20415</v>
      </c>
      <c r="AO108" s="491"/>
      <c r="AP108" s="491">
        <v>4135</v>
      </c>
      <c r="AQ108" s="491">
        <v>3428</v>
      </c>
      <c r="AR108" s="491">
        <v>2724</v>
      </c>
      <c r="AS108" s="491">
        <v>3351</v>
      </c>
      <c r="AT108" s="491">
        <v>13638</v>
      </c>
      <c r="AU108" s="80"/>
    </row>
    <row r="109" spans="1:47" s="206" customFormat="1" ht="15" customHeight="1" x14ac:dyDescent="0.2">
      <c r="A109" s="380" t="str">
        <f>IF(Contents!$A$1=2,"jet fuel ","реактивное топливо")</f>
        <v>реактивное топливо</v>
      </c>
      <c r="B109" s="280" t="str">
        <f>IF(Contents!$A$1=2,"th. t","тыс. т")</f>
        <v>тыс. т</v>
      </c>
      <c r="C109" s="16"/>
      <c r="D109" s="491">
        <v>0</v>
      </c>
      <c r="E109" s="426"/>
      <c r="F109" s="491">
        <v>0</v>
      </c>
      <c r="G109" s="491">
        <v>0</v>
      </c>
      <c r="H109" s="491">
        <v>0</v>
      </c>
      <c r="I109" s="491">
        <v>0</v>
      </c>
      <c r="J109" s="491">
        <v>0</v>
      </c>
      <c r="K109" s="426"/>
      <c r="L109" s="491">
        <v>0</v>
      </c>
      <c r="M109" s="491">
        <v>0</v>
      </c>
      <c r="N109" s="491">
        <v>0</v>
      </c>
      <c r="O109" s="491">
        <v>0</v>
      </c>
      <c r="P109" s="491">
        <v>0</v>
      </c>
      <c r="Q109" s="426"/>
      <c r="R109" s="491">
        <v>0</v>
      </c>
      <c r="S109" s="491">
        <v>0</v>
      </c>
      <c r="T109" s="491">
        <v>0</v>
      </c>
      <c r="U109" s="491">
        <v>0</v>
      </c>
      <c r="V109" s="491">
        <v>0</v>
      </c>
      <c r="W109" s="426"/>
      <c r="X109" s="491">
        <v>0</v>
      </c>
      <c r="Y109" s="491">
        <v>0</v>
      </c>
      <c r="Z109" s="491">
        <v>0</v>
      </c>
      <c r="AA109" s="491">
        <v>0</v>
      </c>
      <c r="AB109" s="491">
        <v>2846</v>
      </c>
      <c r="AC109" s="426"/>
      <c r="AD109" s="491">
        <v>733</v>
      </c>
      <c r="AE109" s="491">
        <v>635</v>
      </c>
      <c r="AF109" s="491">
        <v>748</v>
      </c>
      <c r="AG109" s="491">
        <v>207</v>
      </c>
      <c r="AH109" s="491">
        <v>2323</v>
      </c>
      <c r="AI109" s="426"/>
      <c r="AJ109" s="491">
        <v>265</v>
      </c>
      <c r="AK109" s="491">
        <v>33</v>
      </c>
      <c r="AL109" s="491">
        <v>213</v>
      </c>
      <c r="AM109" s="491">
        <v>143</v>
      </c>
      <c r="AN109" s="491">
        <v>654</v>
      </c>
      <c r="AO109" s="491"/>
      <c r="AP109" s="491">
        <v>373</v>
      </c>
      <c r="AQ109" s="491">
        <v>310</v>
      </c>
      <c r="AR109" s="491">
        <v>679</v>
      </c>
      <c r="AS109" s="491">
        <v>536</v>
      </c>
      <c r="AT109" s="491">
        <v>1898</v>
      </c>
      <c r="AU109" s="80"/>
    </row>
    <row r="110" spans="1:47" s="206" customFormat="1" ht="15" customHeight="1" x14ac:dyDescent="0.2">
      <c r="A110" s="380" t="str">
        <f>IF(Contents!$A$1=2,"lubricants and components","масла и компоненты")</f>
        <v>масла и компоненты</v>
      </c>
      <c r="B110" s="280" t="str">
        <f>IF(Contents!$A$1=2,"th. t","тыс. т")</f>
        <v>тыс. т</v>
      </c>
      <c r="C110" s="16"/>
      <c r="D110" s="491">
        <v>0</v>
      </c>
      <c r="E110" s="426"/>
      <c r="F110" s="491">
        <v>0</v>
      </c>
      <c r="G110" s="491">
        <v>0</v>
      </c>
      <c r="H110" s="491">
        <v>0</v>
      </c>
      <c r="I110" s="491">
        <v>0</v>
      </c>
      <c r="J110" s="491">
        <v>0</v>
      </c>
      <c r="K110" s="426"/>
      <c r="L110" s="491">
        <v>0</v>
      </c>
      <c r="M110" s="491">
        <v>0</v>
      </c>
      <c r="N110" s="491">
        <v>0</v>
      </c>
      <c r="O110" s="491">
        <v>0</v>
      </c>
      <c r="P110" s="491">
        <v>0</v>
      </c>
      <c r="Q110" s="426"/>
      <c r="R110" s="491">
        <v>0</v>
      </c>
      <c r="S110" s="491">
        <v>0</v>
      </c>
      <c r="T110" s="491">
        <v>0</v>
      </c>
      <c r="U110" s="491">
        <v>0</v>
      </c>
      <c r="V110" s="491">
        <v>0</v>
      </c>
      <c r="W110" s="426"/>
      <c r="X110" s="491">
        <v>0</v>
      </c>
      <c r="Y110" s="491">
        <v>0</v>
      </c>
      <c r="Z110" s="491">
        <v>0</v>
      </c>
      <c r="AA110" s="491">
        <v>0</v>
      </c>
      <c r="AB110" s="491">
        <v>1147</v>
      </c>
      <c r="AC110" s="426"/>
      <c r="AD110" s="491">
        <v>361</v>
      </c>
      <c r="AE110" s="491">
        <v>150</v>
      </c>
      <c r="AF110" s="491">
        <v>258</v>
      </c>
      <c r="AG110" s="491">
        <v>228</v>
      </c>
      <c r="AH110" s="491">
        <v>997</v>
      </c>
      <c r="AI110" s="426"/>
      <c r="AJ110" s="491">
        <v>296</v>
      </c>
      <c r="AK110" s="491">
        <v>273</v>
      </c>
      <c r="AL110" s="491">
        <v>217</v>
      </c>
      <c r="AM110" s="491">
        <v>289</v>
      </c>
      <c r="AN110" s="491">
        <v>1075</v>
      </c>
      <c r="AO110" s="491"/>
      <c r="AP110" s="491">
        <v>214</v>
      </c>
      <c r="AQ110" s="491">
        <v>180</v>
      </c>
      <c r="AR110" s="491">
        <v>168</v>
      </c>
      <c r="AS110" s="491">
        <v>182</v>
      </c>
      <c r="AT110" s="491">
        <v>744</v>
      </c>
      <c r="AU110" s="80"/>
    </row>
    <row r="111" spans="1:47" s="206" customFormat="1" ht="15" customHeight="1" x14ac:dyDescent="0.2">
      <c r="A111" s="380" t="str">
        <f>IF(Contents!$A$1=2,"gas products","продукция газопереработки")</f>
        <v>продукция газопереработки</v>
      </c>
      <c r="B111" s="280" t="str">
        <f>IF(Contents!$A$1=2,"th. t","тыс. т")</f>
        <v>тыс. т</v>
      </c>
      <c r="C111" s="16"/>
      <c r="D111" s="491">
        <v>0</v>
      </c>
      <c r="E111" s="426"/>
      <c r="F111" s="491">
        <v>0</v>
      </c>
      <c r="G111" s="491">
        <v>0</v>
      </c>
      <c r="H111" s="491">
        <v>0</v>
      </c>
      <c r="I111" s="491">
        <v>0</v>
      </c>
      <c r="J111" s="491">
        <v>0</v>
      </c>
      <c r="K111" s="426"/>
      <c r="L111" s="491">
        <v>0</v>
      </c>
      <c r="M111" s="491">
        <v>0</v>
      </c>
      <c r="N111" s="491">
        <v>0</v>
      </c>
      <c r="O111" s="491">
        <v>0</v>
      </c>
      <c r="P111" s="491">
        <v>0</v>
      </c>
      <c r="Q111" s="426"/>
      <c r="R111" s="491">
        <v>0</v>
      </c>
      <c r="S111" s="491">
        <v>0</v>
      </c>
      <c r="T111" s="491">
        <v>0</v>
      </c>
      <c r="U111" s="491">
        <v>0</v>
      </c>
      <c r="V111" s="491">
        <v>0</v>
      </c>
      <c r="W111" s="426"/>
      <c r="X111" s="491">
        <v>0</v>
      </c>
      <c r="Y111" s="491">
        <v>0</v>
      </c>
      <c r="Z111" s="491">
        <v>0</v>
      </c>
      <c r="AA111" s="491">
        <v>0</v>
      </c>
      <c r="AB111" s="491">
        <v>1720</v>
      </c>
      <c r="AC111" s="426"/>
      <c r="AD111" s="491">
        <v>442</v>
      </c>
      <c r="AE111" s="491">
        <v>464</v>
      </c>
      <c r="AF111" s="491">
        <v>475</v>
      </c>
      <c r="AG111" s="491">
        <v>521</v>
      </c>
      <c r="AH111" s="491">
        <v>1902</v>
      </c>
      <c r="AI111" s="426"/>
      <c r="AJ111" s="491">
        <v>831</v>
      </c>
      <c r="AK111" s="491">
        <v>738</v>
      </c>
      <c r="AL111" s="491">
        <v>645</v>
      </c>
      <c r="AM111" s="491">
        <v>641</v>
      </c>
      <c r="AN111" s="491">
        <v>2855</v>
      </c>
      <c r="AO111" s="491"/>
      <c r="AP111" s="491">
        <v>537</v>
      </c>
      <c r="AQ111" s="491">
        <v>583</v>
      </c>
      <c r="AR111" s="491">
        <v>1259</v>
      </c>
      <c r="AS111" s="491">
        <v>1089</v>
      </c>
      <c r="AT111" s="491">
        <v>3468</v>
      </c>
      <c r="AU111" s="80"/>
    </row>
    <row r="112" spans="1:47" s="206" customFormat="1" ht="15" customHeight="1" x14ac:dyDescent="0.2">
      <c r="A112" s="380" t="str">
        <f>IF(Contents!$A$1=2,"others","прочие")</f>
        <v>прочие</v>
      </c>
      <c r="B112" s="280" t="str">
        <f>IF(Contents!$A$1=2,"th. t","тыс. т")</f>
        <v>тыс. т</v>
      </c>
      <c r="C112" s="16"/>
      <c r="D112" s="491">
        <v>0</v>
      </c>
      <c r="E112" s="426"/>
      <c r="F112" s="491">
        <v>0</v>
      </c>
      <c r="G112" s="491">
        <v>0</v>
      </c>
      <c r="H112" s="491">
        <v>0</v>
      </c>
      <c r="I112" s="491">
        <v>0</v>
      </c>
      <c r="J112" s="491">
        <v>0</v>
      </c>
      <c r="K112" s="426"/>
      <c r="L112" s="491">
        <v>0</v>
      </c>
      <c r="M112" s="491">
        <v>0</v>
      </c>
      <c r="N112" s="491">
        <v>0</v>
      </c>
      <c r="O112" s="491">
        <v>0</v>
      </c>
      <c r="P112" s="491">
        <v>0</v>
      </c>
      <c r="Q112" s="426"/>
      <c r="R112" s="491">
        <v>0</v>
      </c>
      <c r="S112" s="491">
        <v>0</v>
      </c>
      <c r="T112" s="491">
        <v>0</v>
      </c>
      <c r="U112" s="491">
        <v>0</v>
      </c>
      <c r="V112" s="491">
        <v>0</v>
      </c>
      <c r="W112" s="426"/>
      <c r="X112" s="491">
        <v>0</v>
      </c>
      <c r="Y112" s="491">
        <v>0</v>
      </c>
      <c r="Z112" s="491">
        <v>0</v>
      </c>
      <c r="AA112" s="491">
        <v>0</v>
      </c>
      <c r="AB112" s="491">
        <v>13969</v>
      </c>
      <c r="AC112" s="426"/>
      <c r="AD112" s="491">
        <v>3471</v>
      </c>
      <c r="AE112" s="491">
        <v>3541</v>
      </c>
      <c r="AF112" s="491">
        <v>2932</v>
      </c>
      <c r="AG112" s="491">
        <v>3088</v>
      </c>
      <c r="AH112" s="491">
        <v>13032</v>
      </c>
      <c r="AI112" s="426"/>
      <c r="AJ112" s="491">
        <v>3481</v>
      </c>
      <c r="AK112" s="491">
        <v>2668</v>
      </c>
      <c r="AL112" s="491">
        <v>1490</v>
      </c>
      <c r="AM112" s="491">
        <v>3787</v>
      </c>
      <c r="AN112" s="491">
        <v>11426</v>
      </c>
      <c r="AO112" s="491"/>
      <c r="AP112" s="491">
        <v>4979</v>
      </c>
      <c r="AQ112" s="491">
        <v>4594</v>
      </c>
      <c r="AR112" s="491">
        <v>4780</v>
      </c>
      <c r="AS112" s="491">
        <v>4725</v>
      </c>
      <c r="AT112" s="491">
        <v>19078</v>
      </c>
      <c r="AU112" s="80"/>
    </row>
    <row r="113" spans="1:47" s="206" customFormat="1" ht="15" customHeight="1" x14ac:dyDescent="0.25">
      <c r="A113" s="224"/>
      <c r="B113" s="280"/>
      <c r="C113" s="16"/>
      <c r="D113" s="491"/>
      <c r="E113" s="426"/>
      <c r="F113" s="491"/>
      <c r="G113" s="491"/>
      <c r="H113" s="491"/>
      <c r="I113" s="491"/>
      <c r="J113" s="491"/>
      <c r="K113" s="426"/>
      <c r="L113" s="491"/>
      <c r="M113" s="491"/>
      <c r="N113" s="491"/>
      <c r="O113" s="491"/>
      <c r="P113" s="491"/>
      <c r="Q113" s="426"/>
      <c r="R113" s="491"/>
      <c r="S113" s="491"/>
      <c r="T113" s="491"/>
      <c r="U113" s="491"/>
      <c r="V113" s="491"/>
      <c r="W113" s="426"/>
      <c r="X113" s="491"/>
      <c r="Y113" s="491"/>
      <c r="Z113" s="491"/>
      <c r="AA113" s="491"/>
      <c r="AB113" s="491"/>
      <c r="AC113" s="426"/>
      <c r="AD113" s="491"/>
      <c r="AE113" s="491"/>
      <c r="AF113" s="491"/>
      <c r="AG113" s="491"/>
      <c r="AH113" s="491"/>
      <c r="AI113" s="426"/>
      <c r="AJ113" s="491"/>
      <c r="AK113" s="491"/>
      <c r="AL113" s="491"/>
      <c r="AM113" s="491"/>
      <c r="AN113" s="491"/>
      <c r="AO113" s="491"/>
      <c r="AP113" s="491"/>
      <c r="AQ113" s="491"/>
      <c r="AR113" s="491"/>
      <c r="AS113" s="491"/>
      <c r="AT113" s="491"/>
      <c r="AU113" s="80"/>
    </row>
    <row r="114" spans="1:47" s="110" customFormat="1" ht="15" customHeight="1" x14ac:dyDescent="0.2">
      <c r="A114" s="381" t="str">
        <f>IF(Contents!$A$1=2,"Retail outside Russia","Розничная реализация за рубежом")</f>
        <v>Розничная реализация за рубежом</v>
      </c>
      <c r="B114" s="308" t="str">
        <f>IF(Contents!$A$1=2,"th. t","тыс. т")</f>
        <v>тыс. т</v>
      </c>
      <c r="C114" s="146"/>
      <c r="D114" s="426">
        <v>0</v>
      </c>
      <c r="E114" s="426"/>
      <c r="F114" s="426">
        <v>0</v>
      </c>
      <c r="G114" s="426">
        <v>0</v>
      </c>
      <c r="H114" s="426">
        <v>0</v>
      </c>
      <c r="I114" s="426">
        <v>0</v>
      </c>
      <c r="J114" s="426">
        <v>0</v>
      </c>
      <c r="K114" s="426"/>
      <c r="L114" s="426">
        <v>0</v>
      </c>
      <c r="M114" s="426">
        <v>0</v>
      </c>
      <c r="N114" s="426">
        <v>0</v>
      </c>
      <c r="O114" s="426">
        <v>0</v>
      </c>
      <c r="P114" s="426">
        <v>0</v>
      </c>
      <c r="Q114" s="426"/>
      <c r="R114" s="426">
        <v>0</v>
      </c>
      <c r="S114" s="426">
        <v>0</v>
      </c>
      <c r="T114" s="426">
        <v>0</v>
      </c>
      <c r="U114" s="426">
        <v>0</v>
      </c>
      <c r="V114" s="426">
        <v>0</v>
      </c>
      <c r="W114" s="426"/>
      <c r="X114" s="426">
        <v>0</v>
      </c>
      <c r="Y114" s="426">
        <v>0</v>
      </c>
      <c r="Z114" s="426">
        <v>0</v>
      </c>
      <c r="AA114" s="426">
        <v>0</v>
      </c>
      <c r="AB114" s="426">
        <v>4217</v>
      </c>
      <c r="AC114" s="426"/>
      <c r="AD114" s="426">
        <v>988</v>
      </c>
      <c r="AE114" s="426">
        <v>1054</v>
      </c>
      <c r="AF114" s="426">
        <v>1106</v>
      </c>
      <c r="AG114" s="426">
        <v>1046</v>
      </c>
      <c r="AH114" s="426">
        <v>4194</v>
      </c>
      <c r="AI114" s="426"/>
      <c r="AJ114" s="426">
        <v>926</v>
      </c>
      <c r="AK114" s="426">
        <v>802</v>
      </c>
      <c r="AL114" s="426">
        <v>1006</v>
      </c>
      <c r="AM114" s="426">
        <v>933</v>
      </c>
      <c r="AN114" s="426">
        <v>3667</v>
      </c>
      <c r="AO114" s="426"/>
      <c r="AP114" s="426">
        <v>898</v>
      </c>
      <c r="AQ114" s="426">
        <v>987</v>
      </c>
      <c r="AR114" s="426">
        <v>1101</v>
      </c>
      <c r="AS114" s="426">
        <v>1030</v>
      </c>
      <c r="AT114" s="426">
        <v>4016</v>
      </c>
      <c r="AU114" s="378"/>
    </row>
    <row r="115" spans="1:47" s="206" customFormat="1" ht="15" customHeight="1" x14ac:dyDescent="0.2">
      <c r="A115" s="380" t="str">
        <f>IF(Contents!$A$1=2,"diesel fuel","дизельное топливо")</f>
        <v>дизельное топливо</v>
      </c>
      <c r="B115" s="280" t="str">
        <f>IF(Contents!$A$1=2,"th. t","тыс. т")</f>
        <v>тыс. т</v>
      </c>
      <c r="C115" s="16"/>
      <c r="D115" s="491">
        <v>0</v>
      </c>
      <c r="E115" s="426"/>
      <c r="F115" s="491">
        <v>0</v>
      </c>
      <c r="G115" s="491">
        <v>0</v>
      </c>
      <c r="H115" s="491">
        <v>0</v>
      </c>
      <c r="I115" s="491">
        <v>0</v>
      </c>
      <c r="J115" s="491">
        <v>0</v>
      </c>
      <c r="K115" s="426"/>
      <c r="L115" s="491">
        <v>0</v>
      </c>
      <c r="M115" s="491">
        <v>0</v>
      </c>
      <c r="N115" s="491">
        <v>0</v>
      </c>
      <c r="O115" s="491">
        <v>0</v>
      </c>
      <c r="P115" s="491">
        <v>0</v>
      </c>
      <c r="Q115" s="426"/>
      <c r="R115" s="491">
        <v>0</v>
      </c>
      <c r="S115" s="491">
        <v>0</v>
      </c>
      <c r="T115" s="491">
        <v>0</v>
      </c>
      <c r="U115" s="491">
        <v>0</v>
      </c>
      <c r="V115" s="491">
        <v>0</v>
      </c>
      <c r="W115" s="426"/>
      <c r="X115" s="491">
        <v>0</v>
      </c>
      <c r="Y115" s="491">
        <v>0</v>
      </c>
      <c r="Z115" s="491">
        <v>0</v>
      </c>
      <c r="AA115" s="491">
        <v>0</v>
      </c>
      <c r="AB115" s="491">
        <v>2831</v>
      </c>
      <c r="AC115" s="426"/>
      <c r="AD115" s="491">
        <v>670</v>
      </c>
      <c r="AE115" s="491">
        <v>699</v>
      </c>
      <c r="AF115" s="491">
        <v>738</v>
      </c>
      <c r="AG115" s="491">
        <v>707</v>
      </c>
      <c r="AH115" s="491">
        <v>2814</v>
      </c>
      <c r="AI115" s="426"/>
      <c r="AJ115" s="491">
        <v>632</v>
      </c>
      <c r="AK115" s="491">
        <v>555</v>
      </c>
      <c r="AL115" s="491">
        <v>676</v>
      </c>
      <c r="AM115" s="491">
        <v>645</v>
      </c>
      <c r="AN115" s="491">
        <v>2508</v>
      </c>
      <c r="AO115" s="491"/>
      <c r="AP115" s="491">
        <v>628</v>
      </c>
      <c r="AQ115" s="491">
        <v>671</v>
      </c>
      <c r="AR115" s="491">
        <v>745</v>
      </c>
      <c r="AS115" s="491">
        <v>715</v>
      </c>
      <c r="AT115" s="491">
        <v>2759</v>
      </c>
      <c r="AU115" s="80"/>
    </row>
    <row r="116" spans="1:47" s="206" customFormat="1" ht="15" customHeight="1" x14ac:dyDescent="0.2">
      <c r="A116" s="380" t="str">
        <f>IF(Contents!$A$1=2,"motor gasoline","бензин")</f>
        <v>бензин</v>
      </c>
      <c r="B116" s="280" t="str">
        <f>IF(Contents!$A$1=2,"th. t","тыс. т")</f>
        <v>тыс. т</v>
      </c>
      <c r="C116" s="16"/>
      <c r="D116" s="491">
        <v>0</v>
      </c>
      <c r="E116" s="426"/>
      <c r="F116" s="491">
        <v>0</v>
      </c>
      <c r="G116" s="491">
        <v>0</v>
      </c>
      <c r="H116" s="491">
        <v>0</v>
      </c>
      <c r="I116" s="491">
        <v>0</v>
      </c>
      <c r="J116" s="491">
        <v>0</v>
      </c>
      <c r="K116" s="426"/>
      <c r="L116" s="491">
        <v>0</v>
      </c>
      <c r="M116" s="491">
        <v>0</v>
      </c>
      <c r="N116" s="491">
        <v>0</v>
      </c>
      <c r="O116" s="491">
        <v>0</v>
      </c>
      <c r="P116" s="491">
        <v>0</v>
      </c>
      <c r="Q116" s="426"/>
      <c r="R116" s="491">
        <v>0</v>
      </c>
      <c r="S116" s="491">
        <v>0</v>
      </c>
      <c r="T116" s="491">
        <v>0</v>
      </c>
      <c r="U116" s="491">
        <v>0</v>
      </c>
      <c r="V116" s="491">
        <v>0</v>
      </c>
      <c r="W116" s="426"/>
      <c r="X116" s="491">
        <v>0</v>
      </c>
      <c r="Y116" s="491">
        <v>0</v>
      </c>
      <c r="Z116" s="491">
        <v>0</v>
      </c>
      <c r="AA116" s="491">
        <v>0</v>
      </c>
      <c r="AB116" s="491">
        <v>1202</v>
      </c>
      <c r="AC116" s="426"/>
      <c r="AD116" s="491">
        <v>276</v>
      </c>
      <c r="AE116" s="491">
        <v>308</v>
      </c>
      <c r="AF116" s="491">
        <v>317</v>
      </c>
      <c r="AG116" s="491">
        <v>294</v>
      </c>
      <c r="AH116" s="491">
        <v>1195</v>
      </c>
      <c r="AI116" s="426"/>
      <c r="AJ116" s="491">
        <v>257</v>
      </c>
      <c r="AK116" s="491">
        <v>217</v>
      </c>
      <c r="AL116" s="491">
        <v>287</v>
      </c>
      <c r="AM116" s="491">
        <v>251</v>
      </c>
      <c r="AN116" s="491">
        <v>1012</v>
      </c>
      <c r="AO116" s="491"/>
      <c r="AP116" s="491">
        <v>238</v>
      </c>
      <c r="AQ116" s="491">
        <v>280</v>
      </c>
      <c r="AR116" s="491">
        <v>311</v>
      </c>
      <c r="AS116" s="491">
        <v>277</v>
      </c>
      <c r="AT116" s="491">
        <v>1106</v>
      </c>
      <c r="AU116" s="80"/>
    </row>
    <row r="117" spans="1:47" s="206" customFormat="1" ht="15" customHeight="1" x14ac:dyDescent="0.2">
      <c r="A117" s="380" t="str">
        <f>IF(Contents!$A$1=2,"gas products","продукция газопереработки")</f>
        <v>продукция газопереработки</v>
      </c>
      <c r="B117" s="280" t="str">
        <f>IF(Contents!$A$1=2,"th. t","тыс. т")</f>
        <v>тыс. т</v>
      </c>
      <c r="C117" s="16"/>
      <c r="D117" s="491">
        <v>0</v>
      </c>
      <c r="E117" s="426"/>
      <c r="F117" s="491">
        <v>0</v>
      </c>
      <c r="G117" s="491">
        <v>0</v>
      </c>
      <c r="H117" s="491">
        <v>0</v>
      </c>
      <c r="I117" s="491">
        <v>0</v>
      </c>
      <c r="J117" s="491">
        <v>0</v>
      </c>
      <c r="K117" s="426"/>
      <c r="L117" s="491">
        <v>0</v>
      </c>
      <c r="M117" s="491">
        <v>0</v>
      </c>
      <c r="N117" s="491">
        <v>0</v>
      </c>
      <c r="O117" s="491">
        <v>0</v>
      </c>
      <c r="P117" s="491">
        <v>0</v>
      </c>
      <c r="Q117" s="426"/>
      <c r="R117" s="491">
        <v>0</v>
      </c>
      <c r="S117" s="491">
        <v>0</v>
      </c>
      <c r="T117" s="491">
        <v>0</v>
      </c>
      <c r="U117" s="491">
        <v>0</v>
      </c>
      <c r="V117" s="491">
        <v>0</v>
      </c>
      <c r="W117" s="426"/>
      <c r="X117" s="491">
        <v>0</v>
      </c>
      <c r="Y117" s="491">
        <v>0</v>
      </c>
      <c r="Z117" s="491">
        <v>0</v>
      </c>
      <c r="AA117" s="491">
        <v>0</v>
      </c>
      <c r="AB117" s="491">
        <v>184</v>
      </c>
      <c r="AC117" s="426"/>
      <c r="AD117" s="491">
        <v>42</v>
      </c>
      <c r="AE117" s="491">
        <v>47</v>
      </c>
      <c r="AF117" s="491">
        <v>51</v>
      </c>
      <c r="AG117" s="491">
        <v>45</v>
      </c>
      <c r="AH117" s="491">
        <v>185</v>
      </c>
      <c r="AI117" s="426"/>
      <c r="AJ117" s="491">
        <v>37</v>
      </c>
      <c r="AK117" s="491">
        <v>30</v>
      </c>
      <c r="AL117" s="491">
        <v>43</v>
      </c>
      <c r="AM117" s="491">
        <v>37</v>
      </c>
      <c r="AN117" s="491">
        <v>147</v>
      </c>
      <c r="AO117" s="491"/>
      <c r="AP117" s="491">
        <v>32</v>
      </c>
      <c r="AQ117" s="491">
        <v>36</v>
      </c>
      <c r="AR117" s="491">
        <v>45</v>
      </c>
      <c r="AS117" s="491">
        <v>38</v>
      </c>
      <c r="AT117" s="491">
        <v>151</v>
      </c>
      <c r="AU117" s="80"/>
    </row>
    <row r="118" spans="1:47" s="141" customFormat="1" ht="15" customHeight="1" x14ac:dyDescent="0.25">
      <c r="A118" s="224"/>
      <c r="B118" s="280"/>
      <c r="C118" s="140"/>
      <c r="D118" s="426"/>
      <c r="E118" s="426"/>
      <c r="F118" s="426"/>
      <c r="G118" s="426"/>
      <c r="H118" s="426"/>
      <c r="I118" s="426"/>
      <c r="J118" s="426"/>
      <c r="K118" s="426"/>
      <c r="L118" s="426"/>
      <c r="M118" s="426"/>
      <c r="N118" s="426"/>
      <c r="O118" s="426"/>
      <c r="P118" s="426"/>
      <c r="Q118" s="426"/>
      <c r="R118" s="426"/>
      <c r="S118" s="426"/>
      <c r="T118" s="426"/>
      <c r="U118" s="426"/>
      <c r="V118" s="426"/>
      <c r="W118" s="426"/>
      <c r="X118" s="426"/>
      <c r="Y118" s="426"/>
      <c r="Z118" s="426"/>
      <c r="AA118" s="426"/>
      <c r="AB118" s="426"/>
      <c r="AC118" s="426"/>
      <c r="AD118" s="426"/>
      <c r="AE118" s="426"/>
      <c r="AF118" s="426"/>
      <c r="AG118" s="426"/>
      <c r="AH118" s="426"/>
      <c r="AI118" s="426"/>
      <c r="AJ118" s="426"/>
      <c r="AK118" s="426"/>
      <c r="AL118" s="426"/>
      <c r="AM118" s="426"/>
      <c r="AN118" s="426"/>
      <c r="AO118" s="426"/>
      <c r="AP118" s="426"/>
      <c r="AQ118" s="426"/>
      <c r="AR118" s="426"/>
      <c r="AS118" s="426"/>
      <c r="AT118" s="426"/>
      <c r="AU118" s="80"/>
    </row>
    <row r="119" spans="1:47" s="141" customFormat="1" ht="15" customHeight="1" x14ac:dyDescent="0.2">
      <c r="A119" s="379" t="str">
        <f>IF(Contents!$A$1=2,"Wholesales in Russia","Оптовая реализация в России")</f>
        <v>Оптовая реализация в России</v>
      </c>
      <c r="B119" s="305" t="str">
        <f>IF(Contents!$A$1=2,"th. t","тыс. т")</f>
        <v>тыс. т</v>
      </c>
      <c r="C119" s="382"/>
      <c r="D119" s="522">
        <v>0</v>
      </c>
      <c r="E119" s="522"/>
      <c r="F119" s="522">
        <v>0</v>
      </c>
      <c r="G119" s="522">
        <v>0</v>
      </c>
      <c r="H119" s="522">
        <v>0</v>
      </c>
      <c r="I119" s="522">
        <v>0</v>
      </c>
      <c r="J119" s="522">
        <v>0</v>
      </c>
      <c r="K119" s="522"/>
      <c r="L119" s="522">
        <v>0</v>
      </c>
      <c r="M119" s="522">
        <v>0</v>
      </c>
      <c r="N119" s="522">
        <v>0</v>
      </c>
      <c r="O119" s="522">
        <v>0</v>
      </c>
      <c r="P119" s="522">
        <v>0</v>
      </c>
      <c r="Q119" s="522"/>
      <c r="R119" s="522">
        <v>0</v>
      </c>
      <c r="S119" s="522">
        <v>0</v>
      </c>
      <c r="T119" s="522">
        <v>0</v>
      </c>
      <c r="U119" s="522">
        <v>0</v>
      </c>
      <c r="V119" s="522">
        <v>0</v>
      </c>
      <c r="W119" s="522"/>
      <c r="X119" s="522">
        <v>0</v>
      </c>
      <c r="Y119" s="522">
        <v>0</v>
      </c>
      <c r="Z119" s="522">
        <v>0</v>
      </c>
      <c r="AA119" s="522">
        <v>0</v>
      </c>
      <c r="AB119" s="522">
        <v>14721</v>
      </c>
      <c r="AC119" s="522"/>
      <c r="AD119" s="522">
        <v>3222</v>
      </c>
      <c r="AE119" s="522">
        <v>3746</v>
      </c>
      <c r="AF119" s="522">
        <v>4003</v>
      </c>
      <c r="AG119" s="522">
        <v>3535</v>
      </c>
      <c r="AH119" s="522">
        <v>14506</v>
      </c>
      <c r="AI119" s="522"/>
      <c r="AJ119" s="522">
        <v>3283</v>
      </c>
      <c r="AK119" s="522">
        <v>2772</v>
      </c>
      <c r="AL119" s="522">
        <v>3230</v>
      </c>
      <c r="AM119" s="522">
        <v>2726</v>
      </c>
      <c r="AN119" s="522">
        <v>12011</v>
      </c>
      <c r="AO119" s="426"/>
      <c r="AP119" s="522">
        <v>2656</v>
      </c>
      <c r="AQ119" s="522">
        <v>3253</v>
      </c>
      <c r="AR119" s="522">
        <v>3990</v>
      </c>
      <c r="AS119" s="522">
        <v>3803</v>
      </c>
      <c r="AT119" s="522">
        <v>13702</v>
      </c>
      <c r="AU119" s="80"/>
    </row>
    <row r="120" spans="1:47" s="141" customFormat="1" ht="15" customHeight="1" x14ac:dyDescent="0.2">
      <c r="A120" s="380" t="str">
        <f>IF(Contents!$A$1=2,"diesel fuel","дизельное топливо")</f>
        <v>дизельное топливо</v>
      </c>
      <c r="B120" s="280" t="str">
        <f>IF(Contents!$A$1=2,"th. t","тыс. т")</f>
        <v>тыс. т</v>
      </c>
      <c r="C120" s="140"/>
      <c r="D120" s="491">
        <v>0</v>
      </c>
      <c r="E120" s="426"/>
      <c r="F120" s="491">
        <v>0</v>
      </c>
      <c r="G120" s="491">
        <v>0</v>
      </c>
      <c r="H120" s="491">
        <v>0</v>
      </c>
      <c r="I120" s="491">
        <v>0</v>
      </c>
      <c r="J120" s="491">
        <v>0</v>
      </c>
      <c r="K120" s="426"/>
      <c r="L120" s="491">
        <v>0</v>
      </c>
      <c r="M120" s="491">
        <v>0</v>
      </c>
      <c r="N120" s="491">
        <v>0</v>
      </c>
      <c r="O120" s="491">
        <v>0</v>
      </c>
      <c r="P120" s="491">
        <v>0</v>
      </c>
      <c r="Q120" s="426"/>
      <c r="R120" s="491">
        <v>0</v>
      </c>
      <c r="S120" s="491">
        <v>0</v>
      </c>
      <c r="T120" s="491">
        <v>0</v>
      </c>
      <c r="U120" s="491">
        <v>0</v>
      </c>
      <c r="V120" s="491">
        <v>0</v>
      </c>
      <c r="W120" s="426"/>
      <c r="X120" s="491">
        <v>0</v>
      </c>
      <c r="Y120" s="491">
        <v>0</v>
      </c>
      <c r="Z120" s="491">
        <v>0</v>
      </c>
      <c r="AA120" s="491">
        <v>0</v>
      </c>
      <c r="AB120" s="491">
        <v>2396</v>
      </c>
      <c r="AC120" s="426"/>
      <c r="AD120" s="491">
        <v>580</v>
      </c>
      <c r="AE120" s="491">
        <v>704</v>
      </c>
      <c r="AF120" s="491">
        <v>691</v>
      </c>
      <c r="AG120" s="491">
        <v>758</v>
      </c>
      <c r="AH120" s="491">
        <v>2733</v>
      </c>
      <c r="AI120" s="426"/>
      <c r="AJ120" s="491">
        <v>657</v>
      </c>
      <c r="AK120" s="491">
        <v>701</v>
      </c>
      <c r="AL120" s="491">
        <v>712</v>
      </c>
      <c r="AM120" s="491">
        <v>650</v>
      </c>
      <c r="AN120" s="491">
        <v>2720</v>
      </c>
      <c r="AO120" s="491"/>
      <c r="AP120" s="491">
        <v>659</v>
      </c>
      <c r="AQ120" s="491">
        <v>767</v>
      </c>
      <c r="AR120" s="491">
        <v>1076</v>
      </c>
      <c r="AS120" s="491">
        <v>1131</v>
      </c>
      <c r="AT120" s="491">
        <v>3633</v>
      </c>
      <c r="AU120" s="80"/>
    </row>
    <row r="121" spans="1:47" s="141" customFormat="1" ht="15" customHeight="1" x14ac:dyDescent="0.2">
      <c r="A121" s="380" t="str">
        <f>IF(Contents!$A$1=2,"motor gasoline","бензин")</f>
        <v>бензин</v>
      </c>
      <c r="B121" s="280" t="str">
        <f>IF(Contents!$A$1=2,"th. t","тыс. т")</f>
        <v>тыс. т</v>
      </c>
      <c r="C121" s="140"/>
      <c r="D121" s="491">
        <v>0</v>
      </c>
      <c r="E121" s="426"/>
      <c r="F121" s="491">
        <v>0</v>
      </c>
      <c r="G121" s="491">
        <v>0</v>
      </c>
      <c r="H121" s="491">
        <v>0</v>
      </c>
      <c r="I121" s="491">
        <v>0</v>
      </c>
      <c r="J121" s="491">
        <v>0</v>
      </c>
      <c r="K121" s="426"/>
      <c r="L121" s="491">
        <v>0</v>
      </c>
      <c r="M121" s="491">
        <v>0</v>
      </c>
      <c r="N121" s="491">
        <v>0</v>
      </c>
      <c r="O121" s="491">
        <v>0</v>
      </c>
      <c r="P121" s="491">
        <v>0</v>
      </c>
      <c r="Q121" s="426"/>
      <c r="R121" s="491">
        <v>0</v>
      </c>
      <c r="S121" s="491">
        <v>0</v>
      </c>
      <c r="T121" s="491">
        <v>0</v>
      </c>
      <c r="U121" s="491">
        <v>0</v>
      </c>
      <c r="V121" s="491">
        <v>0</v>
      </c>
      <c r="W121" s="426"/>
      <c r="X121" s="491">
        <v>0</v>
      </c>
      <c r="Y121" s="491">
        <v>0</v>
      </c>
      <c r="Z121" s="491">
        <v>0</v>
      </c>
      <c r="AA121" s="491">
        <v>0</v>
      </c>
      <c r="AB121" s="491">
        <v>1242</v>
      </c>
      <c r="AC121" s="426"/>
      <c r="AD121" s="491">
        <v>256</v>
      </c>
      <c r="AE121" s="491">
        <v>299</v>
      </c>
      <c r="AF121" s="491">
        <v>392</v>
      </c>
      <c r="AG121" s="491">
        <v>310</v>
      </c>
      <c r="AH121" s="491">
        <v>1257</v>
      </c>
      <c r="AI121" s="426"/>
      <c r="AJ121" s="491">
        <v>254</v>
      </c>
      <c r="AK121" s="491">
        <v>228</v>
      </c>
      <c r="AL121" s="491">
        <v>353</v>
      </c>
      <c r="AM121" s="491">
        <v>256</v>
      </c>
      <c r="AN121" s="491">
        <v>1091</v>
      </c>
      <c r="AO121" s="491"/>
      <c r="AP121" s="491">
        <v>266</v>
      </c>
      <c r="AQ121" s="491">
        <v>476</v>
      </c>
      <c r="AR121" s="491">
        <v>521</v>
      </c>
      <c r="AS121" s="491">
        <v>474</v>
      </c>
      <c r="AT121" s="491">
        <v>1737</v>
      </c>
      <c r="AU121" s="80"/>
    </row>
    <row r="122" spans="1:47" s="141" customFormat="1" ht="15" customHeight="1" x14ac:dyDescent="0.2">
      <c r="A122" s="380" t="str">
        <f>IF(Contents!$A$1=2,"fuel oil","топочный мазут")</f>
        <v>топочный мазут</v>
      </c>
      <c r="B122" s="280" t="str">
        <f>IF(Contents!$A$1=2,"th. t","тыс. т")</f>
        <v>тыс. т</v>
      </c>
      <c r="C122" s="140"/>
      <c r="D122" s="491">
        <v>0</v>
      </c>
      <c r="E122" s="426"/>
      <c r="F122" s="491">
        <v>0</v>
      </c>
      <c r="G122" s="491">
        <v>0</v>
      </c>
      <c r="H122" s="491">
        <v>0</v>
      </c>
      <c r="I122" s="491">
        <v>0</v>
      </c>
      <c r="J122" s="491">
        <v>0</v>
      </c>
      <c r="K122" s="426"/>
      <c r="L122" s="491">
        <v>0</v>
      </c>
      <c r="M122" s="491">
        <v>0</v>
      </c>
      <c r="N122" s="491">
        <v>0</v>
      </c>
      <c r="O122" s="491">
        <v>0</v>
      </c>
      <c r="P122" s="491">
        <v>0</v>
      </c>
      <c r="Q122" s="426"/>
      <c r="R122" s="491">
        <v>0</v>
      </c>
      <c r="S122" s="491">
        <v>0</v>
      </c>
      <c r="T122" s="491">
        <v>0</v>
      </c>
      <c r="U122" s="491">
        <v>0</v>
      </c>
      <c r="V122" s="491">
        <v>0</v>
      </c>
      <c r="W122" s="426"/>
      <c r="X122" s="491">
        <v>0</v>
      </c>
      <c r="Y122" s="491">
        <v>0</v>
      </c>
      <c r="Z122" s="491">
        <v>0</v>
      </c>
      <c r="AA122" s="491">
        <v>0</v>
      </c>
      <c r="AB122" s="491">
        <v>2746</v>
      </c>
      <c r="AC122" s="426"/>
      <c r="AD122" s="491">
        <v>510</v>
      </c>
      <c r="AE122" s="491">
        <v>649</v>
      </c>
      <c r="AF122" s="491">
        <v>602</v>
      </c>
      <c r="AG122" s="491">
        <v>423</v>
      </c>
      <c r="AH122" s="491">
        <v>2184</v>
      </c>
      <c r="AI122" s="426"/>
      <c r="AJ122" s="491">
        <v>314</v>
      </c>
      <c r="AK122" s="491">
        <v>171</v>
      </c>
      <c r="AL122" s="491">
        <v>224</v>
      </c>
      <c r="AM122" s="491">
        <v>190</v>
      </c>
      <c r="AN122" s="491">
        <v>899</v>
      </c>
      <c r="AO122" s="491"/>
      <c r="AP122" s="491">
        <v>226</v>
      </c>
      <c r="AQ122" s="491">
        <v>192</v>
      </c>
      <c r="AR122" s="491">
        <v>220</v>
      </c>
      <c r="AS122" s="491">
        <v>174</v>
      </c>
      <c r="AT122" s="491">
        <v>812</v>
      </c>
      <c r="AU122" s="80"/>
    </row>
    <row r="123" spans="1:47" s="141" customFormat="1" ht="15" customHeight="1" x14ac:dyDescent="0.2">
      <c r="A123" s="380" t="str">
        <f>IF(Contents!$A$1=2,"jet fuel ","реактивное топливо")</f>
        <v>реактивное топливо</v>
      </c>
      <c r="B123" s="280" t="str">
        <f>IF(Contents!$A$1=2,"th. t","тыс. т")</f>
        <v>тыс. т</v>
      </c>
      <c r="C123" s="140"/>
      <c r="D123" s="491">
        <v>0</v>
      </c>
      <c r="E123" s="426"/>
      <c r="F123" s="491">
        <v>0</v>
      </c>
      <c r="G123" s="491">
        <v>0</v>
      </c>
      <c r="H123" s="491">
        <v>0</v>
      </c>
      <c r="I123" s="491">
        <v>0</v>
      </c>
      <c r="J123" s="491">
        <v>0</v>
      </c>
      <c r="K123" s="426"/>
      <c r="L123" s="491">
        <v>0</v>
      </c>
      <c r="M123" s="491">
        <v>0</v>
      </c>
      <c r="N123" s="491">
        <v>0</v>
      </c>
      <c r="O123" s="491">
        <v>0</v>
      </c>
      <c r="P123" s="491">
        <v>0</v>
      </c>
      <c r="Q123" s="426"/>
      <c r="R123" s="491">
        <v>0</v>
      </c>
      <c r="S123" s="491">
        <v>0</v>
      </c>
      <c r="T123" s="491">
        <v>0</v>
      </c>
      <c r="U123" s="491">
        <v>0</v>
      </c>
      <c r="V123" s="491">
        <v>0</v>
      </c>
      <c r="W123" s="426"/>
      <c r="X123" s="491">
        <v>0</v>
      </c>
      <c r="Y123" s="491">
        <v>0</v>
      </c>
      <c r="Z123" s="491">
        <v>0</v>
      </c>
      <c r="AA123" s="491">
        <v>0</v>
      </c>
      <c r="AB123" s="491">
        <v>2936</v>
      </c>
      <c r="AC123" s="426"/>
      <c r="AD123" s="491">
        <v>683</v>
      </c>
      <c r="AE123" s="491">
        <v>783</v>
      </c>
      <c r="AF123" s="491">
        <v>919</v>
      </c>
      <c r="AG123" s="491">
        <v>753</v>
      </c>
      <c r="AH123" s="491">
        <v>3138</v>
      </c>
      <c r="AI123" s="426"/>
      <c r="AJ123" s="491">
        <v>747</v>
      </c>
      <c r="AK123" s="491">
        <v>407</v>
      </c>
      <c r="AL123" s="491">
        <v>691</v>
      </c>
      <c r="AM123" s="491">
        <v>556</v>
      </c>
      <c r="AN123" s="491">
        <v>2401</v>
      </c>
      <c r="AO123" s="491"/>
      <c r="AP123" s="491">
        <v>535</v>
      </c>
      <c r="AQ123" s="491">
        <v>692</v>
      </c>
      <c r="AR123" s="491">
        <v>825</v>
      </c>
      <c r="AS123" s="491">
        <v>865</v>
      </c>
      <c r="AT123" s="491">
        <v>2917</v>
      </c>
      <c r="AU123" s="80"/>
    </row>
    <row r="124" spans="1:47" s="141" customFormat="1" ht="15" customHeight="1" x14ac:dyDescent="0.2">
      <c r="A124" s="380" t="str">
        <f>IF(Contents!$A$1=2,"lubricants and components","масла и компоненты")</f>
        <v>масла и компоненты</v>
      </c>
      <c r="B124" s="280" t="str">
        <f>IF(Contents!$A$1=2,"th. t","тыс. т")</f>
        <v>тыс. т</v>
      </c>
      <c r="C124" s="140"/>
      <c r="D124" s="491">
        <v>0</v>
      </c>
      <c r="E124" s="426"/>
      <c r="F124" s="491">
        <v>0</v>
      </c>
      <c r="G124" s="491">
        <v>0</v>
      </c>
      <c r="H124" s="491">
        <v>0</v>
      </c>
      <c r="I124" s="491">
        <v>0</v>
      </c>
      <c r="J124" s="491">
        <v>0</v>
      </c>
      <c r="K124" s="426"/>
      <c r="L124" s="491">
        <v>0</v>
      </c>
      <c r="M124" s="491">
        <v>0</v>
      </c>
      <c r="N124" s="491">
        <v>0</v>
      </c>
      <c r="O124" s="491">
        <v>0</v>
      </c>
      <c r="P124" s="491">
        <v>0</v>
      </c>
      <c r="Q124" s="426"/>
      <c r="R124" s="491">
        <v>0</v>
      </c>
      <c r="S124" s="491">
        <v>0</v>
      </c>
      <c r="T124" s="491">
        <v>0</v>
      </c>
      <c r="U124" s="491">
        <v>0</v>
      </c>
      <c r="V124" s="491">
        <v>0</v>
      </c>
      <c r="W124" s="426"/>
      <c r="X124" s="491">
        <v>0</v>
      </c>
      <c r="Y124" s="491">
        <v>0</v>
      </c>
      <c r="Z124" s="491">
        <v>0</v>
      </c>
      <c r="AA124" s="491">
        <v>0</v>
      </c>
      <c r="AB124" s="491">
        <v>359</v>
      </c>
      <c r="AC124" s="426"/>
      <c r="AD124" s="491">
        <v>77</v>
      </c>
      <c r="AE124" s="491">
        <v>98</v>
      </c>
      <c r="AF124" s="491">
        <v>100</v>
      </c>
      <c r="AG124" s="491">
        <v>86</v>
      </c>
      <c r="AH124" s="491">
        <v>361</v>
      </c>
      <c r="AI124" s="426"/>
      <c r="AJ124" s="491">
        <v>91</v>
      </c>
      <c r="AK124" s="491">
        <v>91</v>
      </c>
      <c r="AL124" s="491">
        <v>103</v>
      </c>
      <c r="AM124" s="491">
        <v>88</v>
      </c>
      <c r="AN124" s="491">
        <v>373</v>
      </c>
      <c r="AO124" s="491"/>
      <c r="AP124" s="491">
        <v>83</v>
      </c>
      <c r="AQ124" s="491">
        <v>85</v>
      </c>
      <c r="AR124" s="491">
        <v>93</v>
      </c>
      <c r="AS124" s="491">
        <v>76</v>
      </c>
      <c r="AT124" s="491">
        <v>337</v>
      </c>
      <c r="AU124" s="80"/>
    </row>
    <row r="125" spans="1:47" s="141" customFormat="1" ht="15" customHeight="1" x14ac:dyDescent="0.2">
      <c r="A125" s="380" t="str">
        <f>IF(Contents!$A$1=2,"gas products","продукция газопереработки")</f>
        <v>продукция газопереработки</v>
      </c>
      <c r="B125" s="280" t="str">
        <f>IF(Contents!$A$1=2,"th. t","тыс. т")</f>
        <v>тыс. т</v>
      </c>
      <c r="C125" s="140"/>
      <c r="D125" s="491">
        <v>0</v>
      </c>
      <c r="E125" s="426"/>
      <c r="F125" s="491">
        <v>0</v>
      </c>
      <c r="G125" s="491">
        <v>0</v>
      </c>
      <c r="H125" s="491">
        <v>0</v>
      </c>
      <c r="I125" s="491">
        <v>0</v>
      </c>
      <c r="J125" s="491">
        <v>0</v>
      </c>
      <c r="K125" s="426"/>
      <c r="L125" s="491">
        <v>0</v>
      </c>
      <c r="M125" s="491">
        <v>0</v>
      </c>
      <c r="N125" s="491">
        <v>0</v>
      </c>
      <c r="O125" s="491">
        <v>0</v>
      </c>
      <c r="P125" s="491">
        <v>0</v>
      </c>
      <c r="Q125" s="426"/>
      <c r="R125" s="491">
        <v>0</v>
      </c>
      <c r="S125" s="491">
        <v>0</v>
      </c>
      <c r="T125" s="491">
        <v>0</v>
      </c>
      <c r="U125" s="491">
        <v>0</v>
      </c>
      <c r="V125" s="491">
        <v>0</v>
      </c>
      <c r="W125" s="426"/>
      <c r="X125" s="491">
        <v>0</v>
      </c>
      <c r="Y125" s="491">
        <v>0</v>
      </c>
      <c r="Z125" s="491">
        <v>0</v>
      </c>
      <c r="AA125" s="491">
        <v>0</v>
      </c>
      <c r="AB125" s="491">
        <v>756</v>
      </c>
      <c r="AC125" s="426"/>
      <c r="AD125" s="491">
        <v>171</v>
      </c>
      <c r="AE125" s="491">
        <v>170</v>
      </c>
      <c r="AF125" s="491">
        <v>170</v>
      </c>
      <c r="AG125" s="491">
        <v>137</v>
      </c>
      <c r="AH125" s="491">
        <v>648</v>
      </c>
      <c r="AI125" s="426"/>
      <c r="AJ125" s="491">
        <v>136</v>
      </c>
      <c r="AK125" s="491">
        <v>141</v>
      </c>
      <c r="AL125" s="491">
        <v>158</v>
      </c>
      <c r="AM125" s="491">
        <v>163</v>
      </c>
      <c r="AN125" s="491">
        <v>598</v>
      </c>
      <c r="AO125" s="491"/>
      <c r="AP125" s="491">
        <v>122</v>
      </c>
      <c r="AQ125" s="491">
        <v>129</v>
      </c>
      <c r="AR125" s="491">
        <v>163</v>
      </c>
      <c r="AS125" s="491">
        <v>121</v>
      </c>
      <c r="AT125" s="491">
        <v>535</v>
      </c>
      <c r="AU125" s="80"/>
    </row>
    <row r="126" spans="1:47" s="141" customFormat="1" ht="15" customHeight="1" x14ac:dyDescent="0.2">
      <c r="A126" s="380" t="str">
        <f>IF(Contents!$A$1=2,"others","прочие")</f>
        <v>прочие</v>
      </c>
      <c r="B126" s="280" t="str">
        <f>IF(Contents!$A$1=2,"th. t","тыс. т")</f>
        <v>тыс. т</v>
      </c>
      <c r="C126" s="140"/>
      <c r="D126" s="491">
        <v>0</v>
      </c>
      <c r="E126" s="426"/>
      <c r="F126" s="491">
        <v>0</v>
      </c>
      <c r="G126" s="491">
        <v>0</v>
      </c>
      <c r="H126" s="491">
        <v>0</v>
      </c>
      <c r="I126" s="491">
        <v>0</v>
      </c>
      <c r="J126" s="491">
        <v>0</v>
      </c>
      <c r="K126" s="426"/>
      <c r="L126" s="491">
        <v>0</v>
      </c>
      <c r="M126" s="491">
        <v>0</v>
      </c>
      <c r="N126" s="491">
        <v>0</v>
      </c>
      <c r="O126" s="491">
        <v>0</v>
      </c>
      <c r="P126" s="491">
        <v>0</v>
      </c>
      <c r="Q126" s="426"/>
      <c r="R126" s="491">
        <v>0</v>
      </c>
      <c r="S126" s="491">
        <v>0</v>
      </c>
      <c r="T126" s="491">
        <v>0</v>
      </c>
      <c r="U126" s="491">
        <v>0</v>
      </c>
      <c r="V126" s="491">
        <v>0</v>
      </c>
      <c r="W126" s="426"/>
      <c r="X126" s="491">
        <v>0</v>
      </c>
      <c r="Y126" s="491">
        <v>0</v>
      </c>
      <c r="Z126" s="491">
        <v>0</v>
      </c>
      <c r="AA126" s="491">
        <v>0</v>
      </c>
      <c r="AB126" s="491">
        <v>4286</v>
      </c>
      <c r="AC126" s="426"/>
      <c r="AD126" s="491">
        <v>945</v>
      </c>
      <c r="AE126" s="491">
        <v>1043</v>
      </c>
      <c r="AF126" s="491">
        <v>1129</v>
      </c>
      <c r="AG126" s="491">
        <v>1068</v>
      </c>
      <c r="AH126" s="491">
        <v>4185</v>
      </c>
      <c r="AI126" s="426"/>
      <c r="AJ126" s="491">
        <v>1084</v>
      </c>
      <c r="AK126" s="491">
        <v>1033</v>
      </c>
      <c r="AL126" s="491">
        <v>989</v>
      </c>
      <c r="AM126" s="491">
        <v>823</v>
      </c>
      <c r="AN126" s="491">
        <v>3929</v>
      </c>
      <c r="AO126" s="491"/>
      <c r="AP126" s="491">
        <v>765</v>
      </c>
      <c r="AQ126" s="491">
        <v>912</v>
      </c>
      <c r="AR126" s="491">
        <v>1092</v>
      </c>
      <c r="AS126" s="491">
        <v>962</v>
      </c>
      <c r="AT126" s="491">
        <v>3731</v>
      </c>
      <c r="AU126" s="80"/>
    </row>
    <row r="127" spans="1:47" s="141" customFormat="1" ht="15" customHeight="1" x14ac:dyDescent="0.25">
      <c r="A127" s="224"/>
      <c r="B127" s="280"/>
      <c r="C127" s="140"/>
      <c r="D127" s="426"/>
      <c r="E127" s="426"/>
      <c r="F127" s="426"/>
      <c r="G127" s="426"/>
      <c r="H127" s="426"/>
      <c r="I127" s="426"/>
      <c r="J127" s="426"/>
      <c r="K127" s="426"/>
      <c r="L127" s="426"/>
      <c r="M127" s="426"/>
      <c r="N127" s="426"/>
      <c r="O127" s="426"/>
      <c r="P127" s="426"/>
      <c r="Q127" s="426"/>
      <c r="R127" s="426"/>
      <c r="S127" s="426"/>
      <c r="T127" s="426"/>
      <c r="U127" s="426"/>
      <c r="V127" s="426"/>
      <c r="W127" s="426"/>
      <c r="X127" s="426"/>
      <c r="Y127" s="426"/>
      <c r="Z127" s="426"/>
      <c r="AA127" s="426"/>
      <c r="AB127" s="426"/>
      <c r="AC127" s="426"/>
      <c r="AD127" s="426"/>
      <c r="AE127" s="426"/>
      <c r="AF127" s="426"/>
      <c r="AG127" s="426"/>
      <c r="AH127" s="426"/>
      <c r="AI127" s="426"/>
      <c r="AJ127" s="426"/>
      <c r="AK127" s="426"/>
      <c r="AL127" s="426"/>
      <c r="AM127" s="426"/>
      <c r="AN127" s="426"/>
      <c r="AO127" s="426"/>
      <c r="AP127" s="426"/>
      <c r="AQ127" s="426"/>
      <c r="AR127" s="426"/>
      <c r="AS127" s="426"/>
      <c r="AT127" s="426"/>
      <c r="AU127" s="80"/>
    </row>
    <row r="128" spans="1:47" s="141" customFormat="1" ht="15" customHeight="1" x14ac:dyDescent="0.2">
      <c r="A128" s="379" t="str">
        <f>IF(Contents!$A$1=2,"Retail in Russia","Розничная реализация в России")</f>
        <v>Розничная реализация в России</v>
      </c>
      <c r="B128" s="305" t="str">
        <f>IF(Contents!$A$1=2,"th. t","тыс. т")</f>
        <v>тыс. т</v>
      </c>
      <c r="C128" s="382"/>
      <c r="D128" s="522">
        <v>0</v>
      </c>
      <c r="E128" s="522"/>
      <c r="F128" s="522">
        <v>0</v>
      </c>
      <c r="G128" s="522">
        <v>0</v>
      </c>
      <c r="H128" s="522">
        <v>0</v>
      </c>
      <c r="I128" s="522">
        <v>0</v>
      </c>
      <c r="J128" s="522">
        <v>0</v>
      </c>
      <c r="K128" s="522"/>
      <c r="L128" s="522">
        <v>0</v>
      </c>
      <c r="M128" s="522">
        <v>0</v>
      </c>
      <c r="N128" s="522">
        <v>0</v>
      </c>
      <c r="O128" s="522">
        <v>0</v>
      </c>
      <c r="P128" s="522">
        <v>0</v>
      </c>
      <c r="Q128" s="522"/>
      <c r="R128" s="522">
        <v>0</v>
      </c>
      <c r="S128" s="522">
        <v>0</v>
      </c>
      <c r="T128" s="522">
        <v>0</v>
      </c>
      <c r="U128" s="522">
        <v>0</v>
      </c>
      <c r="V128" s="522">
        <v>0</v>
      </c>
      <c r="W128" s="522"/>
      <c r="X128" s="522">
        <v>0</v>
      </c>
      <c r="Y128" s="522">
        <v>0</v>
      </c>
      <c r="Z128" s="522">
        <v>0</v>
      </c>
      <c r="AA128" s="522">
        <v>0</v>
      </c>
      <c r="AB128" s="522">
        <v>10927</v>
      </c>
      <c r="AC128" s="522"/>
      <c r="AD128" s="522">
        <v>2334</v>
      </c>
      <c r="AE128" s="522">
        <v>2461</v>
      </c>
      <c r="AF128" s="522">
        <v>2666</v>
      </c>
      <c r="AG128" s="522">
        <v>2474</v>
      </c>
      <c r="AH128" s="522">
        <v>9935</v>
      </c>
      <c r="AI128" s="522"/>
      <c r="AJ128" s="522">
        <v>2188</v>
      </c>
      <c r="AK128" s="522">
        <v>1922</v>
      </c>
      <c r="AL128" s="522">
        <v>2595</v>
      </c>
      <c r="AM128" s="522">
        <v>2327</v>
      </c>
      <c r="AN128" s="522">
        <v>9032</v>
      </c>
      <c r="AO128" s="426"/>
      <c r="AP128" s="522">
        <v>2116</v>
      </c>
      <c r="AQ128" s="522">
        <v>2412</v>
      </c>
      <c r="AR128" s="522">
        <v>2717</v>
      </c>
      <c r="AS128" s="522">
        <v>2625</v>
      </c>
      <c r="AT128" s="522">
        <v>9870</v>
      </c>
      <c r="AU128" s="80"/>
    </row>
    <row r="129" spans="1:47" s="141" customFormat="1" ht="15" customHeight="1" x14ac:dyDescent="0.2">
      <c r="A129" s="380" t="str">
        <f>IF(Contents!$A$1=2,"diesel fuel","дизельное топливо")</f>
        <v>дизельное топливо</v>
      </c>
      <c r="B129" s="280" t="str">
        <f>IF(Contents!$A$1=2,"th. t","тыс. т")</f>
        <v>тыс. т</v>
      </c>
      <c r="C129" s="140"/>
      <c r="D129" s="491">
        <v>0</v>
      </c>
      <c r="E129" s="426"/>
      <c r="F129" s="491">
        <v>0</v>
      </c>
      <c r="G129" s="491">
        <v>0</v>
      </c>
      <c r="H129" s="491">
        <v>0</v>
      </c>
      <c r="I129" s="491">
        <v>0</v>
      </c>
      <c r="J129" s="491">
        <v>0</v>
      </c>
      <c r="K129" s="426"/>
      <c r="L129" s="491">
        <v>0</v>
      </c>
      <c r="M129" s="491">
        <v>0</v>
      </c>
      <c r="N129" s="491">
        <v>0</v>
      </c>
      <c r="O129" s="491">
        <v>0</v>
      </c>
      <c r="P129" s="491">
        <v>0</v>
      </c>
      <c r="Q129" s="426"/>
      <c r="R129" s="491">
        <v>0</v>
      </c>
      <c r="S129" s="491">
        <v>0</v>
      </c>
      <c r="T129" s="491">
        <v>0</v>
      </c>
      <c r="U129" s="491">
        <v>0</v>
      </c>
      <c r="V129" s="491">
        <v>0</v>
      </c>
      <c r="W129" s="426"/>
      <c r="X129" s="491">
        <v>0</v>
      </c>
      <c r="Y129" s="491">
        <v>0</v>
      </c>
      <c r="Z129" s="491">
        <v>0</v>
      </c>
      <c r="AA129" s="491">
        <v>0</v>
      </c>
      <c r="AB129" s="491">
        <v>4128</v>
      </c>
      <c r="AC129" s="426"/>
      <c r="AD129" s="491">
        <v>911</v>
      </c>
      <c r="AE129" s="491">
        <v>885</v>
      </c>
      <c r="AF129" s="491">
        <v>981</v>
      </c>
      <c r="AG129" s="491">
        <v>938</v>
      </c>
      <c r="AH129" s="491">
        <v>3715</v>
      </c>
      <c r="AI129" s="426"/>
      <c r="AJ129" s="491">
        <v>858</v>
      </c>
      <c r="AK129" s="491">
        <v>747</v>
      </c>
      <c r="AL129" s="491">
        <v>940</v>
      </c>
      <c r="AM129" s="491">
        <v>905</v>
      </c>
      <c r="AN129" s="491">
        <v>3450</v>
      </c>
      <c r="AO129" s="491"/>
      <c r="AP129" s="491">
        <v>817</v>
      </c>
      <c r="AQ129" s="491">
        <v>853</v>
      </c>
      <c r="AR129" s="491">
        <v>937</v>
      </c>
      <c r="AS129" s="491">
        <v>1015</v>
      </c>
      <c r="AT129" s="491">
        <v>3622</v>
      </c>
      <c r="AU129" s="80"/>
    </row>
    <row r="130" spans="1:47" s="141" customFormat="1" ht="15" customHeight="1" x14ac:dyDescent="0.2">
      <c r="A130" s="380" t="str">
        <f>IF(Contents!$A$1=2,"motor gasoline","бензин")</f>
        <v>бензин</v>
      </c>
      <c r="B130" s="280" t="str">
        <f>IF(Contents!$A$1=2,"th. t","тыс. т")</f>
        <v>тыс. т</v>
      </c>
      <c r="C130" s="140"/>
      <c r="D130" s="491">
        <v>0</v>
      </c>
      <c r="E130" s="426"/>
      <c r="F130" s="491">
        <v>0</v>
      </c>
      <c r="G130" s="491">
        <v>0</v>
      </c>
      <c r="H130" s="491">
        <v>0</v>
      </c>
      <c r="I130" s="491">
        <v>0</v>
      </c>
      <c r="J130" s="491">
        <v>0</v>
      </c>
      <c r="K130" s="426"/>
      <c r="L130" s="491">
        <v>0</v>
      </c>
      <c r="M130" s="491">
        <v>0</v>
      </c>
      <c r="N130" s="491">
        <v>0</v>
      </c>
      <c r="O130" s="491">
        <v>0</v>
      </c>
      <c r="P130" s="491">
        <v>0</v>
      </c>
      <c r="Q130" s="426"/>
      <c r="R130" s="491">
        <v>0</v>
      </c>
      <c r="S130" s="491">
        <v>0</v>
      </c>
      <c r="T130" s="491">
        <v>0</v>
      </c>
      <c r="U130" s="491">
        <v>0</v>
      </c>
      <c r="V130" s="491">
        <v>0</v>
      </c>
      <c r="W130" s="426"/>
      <c r="X130" s="491">
        <v>0</v>
      </c>
      <c r="Y130" s="491">
        <v>0</v>
      </c>
      <c r="Z130" s="491">
        <v>0</v>
      </c>
      <c r="AA130" s="491">
        <v>0</v>
      </c>
      <c r="AB130" s="491">
        <v>6734</v>
      </c>
      <c r="AC130" s="426"/>
      <c r="AD130" s="491">
        <v>1412</v>
      </c>
      <c r="AE130" s="491">
        <v>1559</v>
      </c>
      <c r="AF130" s="491">
        <v>1674</v>
      </c>
      <c r="AG130" s="491">
        <v>1516</v>
      </c>
      <c r="AH130" s="491">
        <v>6161</v>
      </c>
      <c r="AI130" s="426"/>
      <c r="AJ130" s="491">
        <v>1316</v>
      </c>
      <c r="AK130" s="491">
        <v>1163</v>
      </c>
      <c r="AL130" s="491">
        <v>1640</v>
      </c>
      <c r="AM130" s="491">
        <v>1408</v>
      </c>
      <c r="AN130" s="491">
        <v>5527</v>
      </c>
      <c r="AO130" s="491"/>
      <c r="AP130" s="491">
        <v>1286</v>
      </c>
      <c r="AQ130" s="491">
        <v>1544</v>
      </c>
      <c r="AR130" s="491">
        <v>1761</v>
      </c>
      <c r="AS130" s="491">
        <v>1594</v>
      </c>
      <c r="AT130" s="491">
        <v>6185</v>
      </c>
      <c r="AU130" s="80"/>
    </row>
    <row r="131" spans="1:47" ht="15" customHeight="1" x14ac:dyDescent="0.2">
      <c r="A131" s="380" t="str">
        <f>IF(Contents!$A$1=2,"gas products","продукция газопереработки")</f>
        <v>продукция газопереработки</v>
      </c>
      <c r="B131" s="280" t="str">
        <f>IF(Contents!$A$1=2,"th. t","тыс. т")</f>
        <v>тыс. т</v>
      </c>
      <c r="D131" s="506">
        <v>0</v>
      </c>
      <c r="E131" s="505"/>
      <c r="F131" s="506">
        <v>0</v>
      </c>
      <c r="G131" s="506">
        <v>0</v>
      </c>
      <c r="H131" s="506">
        <v>0</v>
      </c>
      <c r="I131" s="506">
        <v>0</v>
      </c>
      <c r="J131" s="506">
        <v>0</v>
      </c>
      <c r="K131" s="505"/>
      <c r="L131" s="506">
        <v>0</v>
      </c>
      <c r="M131" s="506">
        <v>0</v>
      </c>
      <c r="N131" s="506">
        <v>0</v>
      </c>
      <c r="O131" s="506">
        <v>0</v>
      </c>
      <c r="P131" s="506">
        <v>0</v>
      </c>
      <c r="Q131" s="505"/>
      <c r="R131" s="506">
        <v>0</v>
      </c>
      <c r="S131" s="506">
        <v>0</v>
      </c>
      <c r="T131" s="506">
        <v>0</v>
      </c>
      <c r="U131" s="506">
        <v>0</v>
      </c>
      <c r="V131" s="506">
        <v>0</v>
      </c>
      <c r="W131" s="507"/>
      <c r="X131" s="506">
        <v>0</v>
      </c>
      <c r="Y131" s="506">
        <v>0</v>
      </c>
      <c r="Z131" s="506">
        <v>0</v>
      </c>
      <c r="AA131" s="506">
        <v>0</v>
      </c>
      <c r="AB131" s="506">
        <v>65</v>
      </c>
      <c r="AC131" s="507"/>
      <c r="AD131" s="506">
        <v>11</v>
      </c>
      <c r="AE131" s="506">
        <v>17</v>
      </c>
      <c r="AF131" s="506">
        <v>11</v>
      </c>
      <c r="AG131" s="506">
        <v>20</v>
      </c>
      <c r="AH131" s="506">
        <v>59</v>
      </c>
      <c r="AI131" s="507"/>
      <c r="AJ131" s="506">
        <v>14</v>
      </c>
      <c r="AK131" s="506">
        <v>12</v>
      </c>
      <c r="AL131" s="506">
        <v>15</v>
      </c>
      <c r="AM131" s="506">
        <v>14</v>
      </c>
      <c r="AN131" s="506">
        <v>55</v>
      </c>
      <c r="AO131" s="507"/>
      <c r="AP131" s="506">
        <v>13</v>
      </c>
      <c r="AQ131" s="506">
        <v>15</v>
      </c>
      <c r="AR131" s="506">
        <v>19</v>
      </c>
      <c r="AS131" s="506">
        <v>16</v>
      </c>
      <c r="AT131" s="506">
        <v>63</v>
      </c>
      <c r="AU131" s="80"/>
    </row>
    <row r="132" spans="1:47" ht="15" customHeight="1" x14ac:dyDescent="0.2">
      <c r="A132" s="383"/>
      <c r="B132" s="280"/>
      <c r="D132" s="506"/>
      <c r="E132" s="505"/>
      <c r="F132" s="506"/>
      <c r="G132" s="506"/>
      <c r="H132" s="506"/>
      <c r="I132" s="506"/>
      <c r="J132" s="506"/>
      <c r="K132" s="505"/>
      <c r="L132" s="506"/>
      <c r="M132" s="506"/>
      <c r="N132" s="506"/>
      <c r="O132" s="506"/>
      <c r="P132" s="506"/>
      <c r="Q132" s="505"/>
      <c r="R132" s="506"/>
      <c r="S132" s="506"/>
      <c r="T132" s="506"/>
      <c r="U132" s="506"/>
      <c r="V132" s="506"/>
      <c r="W132" s="507"/>
      <c r="X132" s="506"/>
      <c r="Y132" s="506"/>
      <c r="Z132" s="506"/>
      <c r="AA132" s="506"/>
      <c r="AB132" s="506"/>
      <c r="AC132" s="507"/>
      <c r="AD132" s="506"/>
      <c r="AE132" s="506"/>
      <c r="AF132" s="506"/>
      <c r="AG132" s="506"/>
      <c r="AH132" s="506"/>
      <c r="AI132" s="507"/>
      <c r="AJ132" s="506"/>
      <c r="AK132" s="506"/>
      <c r="AL132" s="506"/>
      <c r="AM132" s="506"/>
      <c r="AN132" s="506"/>
      <c r="AO132" s="507"/>
      <c r="AP132" s="506"/>
      <c r="AQ132" s="506"/>
      <c r="AR132" s="506"/>
      <c r="AS132" s="506"/>
      <c r="AT132" s="506"/>
    </row>
    <row r="133" spans="1:47" ht="15" customHeight="1" x14ac:dyDescent="0.25">
      <c r="A133" s="383" t="str">
        <f>IF(Contents!$A$1=2,"Total refined products volumes ","Объем продаж нефтепродуктов, всего")</f>
        <v>Объем продаж нефтепродуктов, всего</v>
      </c>
      <c r="B133" s="308" t="str">
        <f>IF(Contents!$A$1=2,"th. t","тыс. т")</f>
        <v>тыс. т</v>
      </c>
      <c r="C133" s="404"/>
      <c r="D133" s="524">
        <v>0</v>
      </c>
      <c r="E133" s="523"/>
      <c r="F133" s="524">
        <v>0</v>
      </c>
      <c r="G133" s="524">
        <v>0</v>
      </c>
      <c r="H133" s="524">
        <v>0</v>
      </c>
      <c r="I133" s="524">
        <v>0</v>
      </c>
      <c r="J133" s="524">
        <v>0</v>
      </c>
      <c r="K133" s="523"/>
      <c r="L133" s="524">
        <v>0</v>
      </c>
      <c r="M133" s="524">
        <v>0</v>
      </c>
      <c r="N133" s="524">
        <v>0</v>
      </c>
      <c r="O133" s="524">
        <v>0</v>
      </c>
      <c r="P133" s="524">
        <v>0</v>
      </c>
      <c r="Q133" s="523"/>
      <c r="R133" s="524">
        <v>0</v>
      </c>
      <c r="S133" s="524">
        <v>0</v>
      </c>
      <c r="T133" s="524">
        <v>0</v>
      </c>
      <c r="U133" s="524">
        <v>0</v>
      </c>
      <c r="V133" s="524">
        <v>0</v>
      </c>
      <c r="W133" s="525"/>
      <c r="X133" s="524">
        <v>0</v>
      </c>
      <c r="Y133" s="524">
        <v>0</v>
      </c>
      <c r="Z133" s="524">
        <v>0</v>
      </c>
      <c r="AA133" s="524">
        <v>0</v>
      </c>
      <c r="AB133" s="524">
        <v>123541</v>
      </c>
      <c r="AC133" s="525"/>
      <c r="AD133" s="524">
        <v>28471</v>
      </c>
      <c r="AE133" s="524">
        <v>32132</v>
      </c>
      <c r="AF133" s="524">
        <v>30947</v>
      </c>
      <c r="AG133" s="524">
        <v>29477</v>
      </c>
      <c r="AH133" s="524">
        <v>121027</v>
      </c>
      <c r="AI133" s="525"/>
      <c r="AJ133" s="524">
        <v>27106</v>
      </c>
      <c r="AK133" s="524">
        <v>23610</v>
      </c>
      <c r="AL133" s="524">
        <v>26400</v>
      </c>
      <c r="AM133" s="524">
        <v>27689</v>
      </c>
      <c r="AN133" s="524">
        <v>104806</v>
      </c>
      <c r="AO133" s="525"/>
      <c r="AP133" s="524">
        <v>25962</v>
      </c>
      <c r="AQ133" s="524">
        <v>27133</v>
      </c>
      <c r="AR133" s="524">
        <v>28828</v>
      </c>
      <c r="AS133" s="524">
        <v>28746</v>
      </c>
      <c r="AT133" s="524">
        <v>110669</v>
      </c>
    </row>
    <row r="134" spans="1:47" ht="15" customHeight="1" x14ac:dyDescent="0.2">
      <c r="A134" s="352"/>
      <c r="B134" s="405"/>
      <c r="C134" s="352"/>
      <c r="D134" s="352"/>
      <c r="E134" s="34"/>
      <c r="F134" s="352"/>
      <c r="G134" s="352"/>
      <c r="H134" s="352"/>
      <c r="I134" s="352"/>
      <c r="J134" s="352"/>
      <c r="K134" s="34"/>
      <c r="L134" s="352"/>
      <c r="M134" s="352"/>
      <c r="N134" s="352"/>
      <c r="O134" s="352"/>
      <c r="P134" s="352"/>
      <c r="Q134" s="34"/>
      <c r="R134" s="352"/>
      <c r="S134" s="352"/>
      <c r="T134" s="352"/>
      <c r="U134" s="352"/>
      <c r="V134" s="352"/>
      <c r="W134" s="34"/>
      <c r="X134" s="352"/>
      <c r="Y134" s="352"/>
      <c r="Z134" s="352"/>
      <c r="AA134" s="352"/>
      <c r="AB134" s="352"/>
      <c r="AC134" s="34"/>
      <c r="AD134" s="352"/>
      <c r="AE134" s="352"/>
      <c r="AF134" s="352"/>
      <c r="AG134" s="352"/>
      <c r="AH134" s="352"/>
      <c r="AI134" s="34"/>
      <c r="AJ134" s="352"/>
      <c r="AK134" s="352"/>
      <c r="AL134" s="352"/>
      <c r="AM134" s="352"/>
      <c r="AN134" s="352"/>
      <c r="AO134" s="34"/>
      <c r="AP134" s="352"/>
      <c r="AQ134" s="352"/>
      <c r="AR134" s="352"/>
      <c r="AS134" s="352"/>
      <c r="AT134" s="352"/>
    </row>
    <row r="135" spans="1:47" ht="15" customHeight="1" x14ac:dyDescent="0.2">
      <c r="A135" s="51" t="str">
        <f>IF(Contents!$A$1=2,"Contents","Содержание")</f>
        <v>Содержание</v>
      </c>
    </row>
    <row r="136" spans="1:47" ht="15" customHeight="1" x14ac:dyDescent="0.2">
      <c r="A136" s="51"/>
    </row>
    <row r="137" spans="1:47" ht="15" customHeight="1" x14ac:dyDescent="0.2">
      <c r="A137" s="51"/>
    </row>
  </sheetData>
  <conditionalFormatting sqref="A1:Q1 AV2:XFD8 A2:AB8 AC2:AU6 B35:B41 A35:A49 A62 A55:A59 B45:B59 C55:AB58 AC46:AC58 A134:AB134 B62:B75 B77:B98 A100:B103 C131:C133 A138:AB1048576 AC118:AC133 AC100:AU103 AD61:AJ69 AD104:AO104 A70:A75 B135:AB137 AD45:AJ54 AC70:AJ71 AC88:AJ98 A25:A28 AD25:AS28 AI23:AI24 A9:A22 AD15:AS18 AL45:AO45 AC77:AO87 AD76:AO76 AD55:AU58 AC72:AU75 AI105:AO133 C35:AU40 AC7:AO7 AC8:AU8 AU7 AC1:AO1 AD19:AO22 AD41:AO41 AU41:AU54 AU59:AU71 AD59:AO59 AU76:AU99 AD9:AO14 AU104:AU133 E131:E133 K131:K133 Q131:Q133 W131:W133 AV35:XFD1048576 AC134:AU1048576">
    <cfRule type="containsText" dxfId="901" priority="607" operator="containsText" text="ложь">
      <formula>NOT(ISERROR(SEARCH("ложь",A1)))</formula>
    </cfRule>
  </conditionalFormatting>
  <conditionalFormatting sqref="D1:Q1">
    <cfRule type="containsText" dxfId="900" priority="600" operator="containsText" text="ложь">
      <formula>NOT(ISERROR(SEARCH("ложь",D1)))</formula>
    </cfRule>
  </conditionalFormatting>
  <conditionalFormatting sqref="D1:Q1">
    <cfRule type="containsText" dxfId="899" priority="599" operator="containsText" text="ложь">
      <formula>NOT(ISERROR(SEARCH("ложь",D1)))</formula>
    </cfRule>
  </conditionalFormatting>
  <conditionalFormatting sqref="D1:Q1">
    <cfRule type="containsText" dxfId="898" priority="598" operator="containsText" text="ложь">
      <formula>NOT(ISERROR(SEARCH("ложь",D1)))</formula>
    </cfRule>
  </conditionalFormatting>
  <conditionalFormatting sqref="C59:Q59 C41:Q41 C19:Q19 C9:Q9 C10:W18 C70:AB70 AU1:XFD1 C62:W69 C45:E49 C42:C44 C50:C54 W50:W54 Q50:Q54 K50:K54 E50:E54 C71:Q75 W71:W75 W77:W98 C77:C98 C100:Q103 W100:W103 W118:W130 C118:C130 AT15:AU18 AV9:XFD28 AT25:AU28 AU9:AU14 AU19:AU24 C20:W28 J45:Q45 J46:W49 E77:E98 K77:K98 Q77:Q98 E118:E130 K118:K130 Q118:Q130">
    <cfRule type="containsText" dxfId="897" priority="597" operator="containsText" text="ложь">
      <formula>NOT(ISERROR(SEARCH("ложь",C1)))</formula>
    </cfRule>
  </conditionalFormatting>
  <conditionalFormatting sqref="R1:AB1">
    <cfRule type="containsText" dxfId="896" priority="596" operator="containsText" text="ложь">
      <formula>NOT(ISERROR(SEARCH("ложь",R1)))</formula>
    </cfRule>
  </conditionalFormatting>
  <conditionalFormatting sqref="R1:AB1">
    <cfRule type="containsText" dxfId="895" priority="595" operator="containsText" text="ложь">
      <formula>NOT(ISERROR(SEARCH("ложь",R1)))</formula>
    </cfRule>
  </conditionalFormatting>
  <conditionalFormatting sqref="R1:AB1">
    <cfRule type="containsText" dxfId="894" priority="594" operator="containsText" text="ложь">
      <formula>NOT(ISERROR(SEARCH("ложь",R1)))</formula>
    </cfRule>
  </conditionalFormatting>
  <conditionalFormatting sqref="R9:W9">
    <cfRule type="containsText" dxfId="893" priority="593" operator="containsText" text="ложь">
      <formula>NOT(ISERROR(SEARCH("ложь",R9)))</formula>
    </cfRule>
  </conditionalFormatting>
  <conditionalFormatting sqref="R19:W19">
    <cfRule type="containsText" dxfId="892" priority="592" operator="containsText" text="ложь">
      <formula>NOT(ISERROR(SEARCH("ложь",R19)))</formula>
    </cfRule>
  </conditionalFormatting>
  <conditionalFormatting sqref="R41:W41 R45:W45">
    <cfRule type="containsText" dxfId="891" priority="591" operator="containsText" text="ложь">
      <formula>NOT(ISERROR(SEARCH("ложь",R41)))</formula>
    </cfRule>
  </conditionalFormatting>
  <conditionalFormatting sqref="R59:W59">
    <cfRule type="containsText" dxfId="890" priority="590" operator="containsText" text="ложь">
      <formula>NOT(ISERROR(SEARCH("ложь",R59)))</formula>
    </cfRule>
  </conditionalFormatting>
  <conditionalFormatting sqref="B9:B22 B25:B28">
    <cfRule type="containsText" dxfId="889" priority="589" operator="containsText" text="ложь">
      <formula>NOT(ISERROR(SEARCH("ложь",B9)))</formula>
    </cfRule>
  </conditionalFormatting>
  <conditionalFormatting sqref="A63:A69">
    <cfRule type="containsText" dxfId="888" priority="587" operator="containsText" text="ложь">
      <formula>NOT(ISERROR(SEARCH("ложь",A63)))</formula>
    </cfRule>
  </conditionalFormatting>
  <conditionalFormatting sqref="X15:AB18 X11:X14 X20:AB22 X46:AB49 X62:AB69 X25:AB28">
    <cfRule type="containsText" dxfId="887" priority="575" operator="containsText" text="ложь">
      <formula>NOT(ISERROR(SEARCH("ложь",X11)))</formula>
    </cfRule>
  </conditionalFormatting>
  <conditionalFormatting sqref="X9:AB9">
    <cfRule type="containsText" dxfId="886" priority="574" operator="containsText" text="ложь">
      <formula>NOT(ISERROR(SEARCH("ложь",X9)))</formula>
    </cfRule>
  </conditionalFormatting>
  <conditionalFormatting sqref="X19:AB19">
    <cfRule type="containsText" dxfId="885" priority="573" operator="containsText" text="ложь">
      <formula>NOT(ISERROR(SEARCH("ложь",X19)))</formula>
    </cfRule>
  </conditionalFormatting>
  <conditionalFormatting sqref="X41:AB41 X45:AB45">
    <cfRule type="containsText" dxfId="884" priority="572" operator="containsText" text="ложь">
      <formula>NOT(ISERROR(SEARCH("ложь",X41)))</formula>
    </cfRule>
  </conditionalFormatting>
  <conditionalFormatting sqref="X59:AB59">
    <cfRule type="containsText" dxfId="883" priority="571" operator="containsText" text="ложь">
      <formula>NOT(ISERROR(SEARCH("ложь",X59)))</formula>
    </cfRule>
  </conditionalFormatting>
  <conditionalFormatting sqref="X10">
    <cfRule type="containsText" dxfId="882" priority="570" operator="containsText" text="ложь">
      <formula>NOT(ISERROR(SEARCH("ложь",X10)))</formula>
    </cfRule>
  </conditionalFormatting>
  <conditionalFormatting sqref="Y11:Y14">
    <cfRule type="containsText" dxfId="881" priority="569" operator="containsText" text="ложь">
      <formula>NOT(ISERROR(SEARCH("ложь",Y11)))</formula>
    </cfRule>
  </conditionalFormatting>
  <conditionalFormatting sqref="Y10">
    <cfRule type="containsText" dxfId="880" priority="568" operator="containsText" text="ложь">
      <formula>NOT(ISERROR(SEARCH("ложь",Y10)))</formula>
    </cfRule>
  </conditionalFormatting>
  <conditionalFormatting sqref="Z11:AB14">
    <cfRule type="containsText" dxfId="879" priority="567" operator="containsText" text="ложь">
      <formula>NOT(ISERROR(SEARCH("ложь",Z11)))</formula>
    </cfRule>
  </conditionalFormatting>
  <conditionalFormatting sqref="Z10:AB10">
    <cfRule type="containsText" dxfId="878" priority="566" operator="containsText" text="ложь">
      <formula>NOT(ISERROR(SEARCH("ложь",Z10)))</formula>
    </cfRule>
  </conditionalFormatting>
  <conditionalFormatting sqref="AC10:AC18 AC20:AC28 AC62:AC69">
    <cfRule type="containsText" dxfId="877" priority="539" operator="containsText" text="ложь">
      <formula>NOT(ISERROR(SEARCH("ложь",AC10)))</formula>
    </cfRule>
  </conditionalFormatting>
  <conditionalFormatting sqref="AC9">
    <cfRule type="containsText" dxfId="876" priority="535" operator="containsText" text="ложь">
      <formula>NOT(ISERROR(SEARCH("ложь",AC9)))</formula>
    </cfRule>
  </conditionalFormatting>
  <conditionalFormatting sqref="AC19">
    <cfRule type="containsText" dxfId="875" priority="534" operator="containsText" text="ложь">
      <formula>NOT(ISERROR(SEARCH("ложь",AC19)))</formula>
    </cfRule>
  </conditionalFormatting>
  <conditionalFormatting sqref="AC41 AC45">
    <cfRule type="containsText" dxfId="874" priority="533" operator="containsText" text="ложь">
      <formula>NOT(ISERROR(SEARCH("ложь",AC41)))</formula>
    </cfRule>
  </conditionalFormatting>
  <conditionalFormatting sqref="AC59">
    <cfRule type="containsText" dxfId="873" priority="532" operator="containsText" text="ложь">
      <formula>NOT(ISERROR(SEARCH("ложь",AC59)))</formula>
    </cfRule>
  </conditionalFormatting>
  <conditionalFormatting sqref="A29:A30 AD33:AI34 AD29:AO32">
    <cfRule type="containsText" dxfId="872" priority="491" operator="containsText" text="ложь">
      <formula>NOT(ISERROR(SEARCH("ложь",A29)))</formula>
    </cfRule>
  </conditionalFormatting>
  <conditionalFormatting sqref="C29:Q29 C30:W34 AU29:XFD34">
    <cfRule type="containsText" dxfId="871" priority="490" operator="containsText" text="ложь">
      <formula>NOT(ISERROR(SEARCH("ложь",C29)))</formula>
    </cfRule>
  </conditionalFormatting>
  <conditionalFormatting sqref="R29:W29">
    <cfRule type="containsText" dxfId="870" priority="489" operator="containsText" text="ложь">
      <formula>NOT(ISERROR(SEARCH("ложь",R29)))</formula>
    </cfRule>
  </conditionalFormatting>
  <conditionalFormatting sqref="B29:B32">
    <cfRule type="containsText" dxfId="869" priority="488" operator="containsText" text="ложь">
      <formula>NOT(ISERROR(SEARCH("ложь",B29)))</formula>
    </cfRule>
  </conditionalFormatting>
  <conditionalFormatting sqref="X30:AB34">
    <cfRule type="containsText" dxfId="868" priority="484" operator="containsText" text="ложь">
      <formula>NOT(ISERROR(SEARCH("ложь",X30)))</formula>
    </cfRule>
  </conditionalFormatting>
  <conditionalFormatting sqref="X29:AB29">
    <cfRule type="containsText" dxfId="867" priority="483" operator="containsText" text="ложь">
      <formula>NOT(ISERROR(SEARCH("ложь",X29)))</formula>
    </cfRule>
  </conditionalFormatting>
  <conditionalFormatting sqref="AC30:AC34">
    <cfRule type="containsText" dxfId="866" priority="473" operator="containsText" text="ложь">
      <formula>NOT(ISERROR(SEARCH("ложь",AC30)))</formula>
    </cfRule>
  </conditionalFormatting>
  <conditionalFormatting sqref="AC29">
    <cfRule type="containsText" dxfId="865" priority="472" operator="containsText" text="ложь">
      <formula>NOT(ISERROR(SEARCH("ложь",AC29)))</formula>
    </cfRule>
  </conditionalFormatting>
  <conditionalFormatting sqref="B42">
    <cfRule type="containsText" dxfId="864" priority="462" operator="containsText" text="ложь">
      <formula>NOT(ISERROR(SEARCH("ложь",B42)))</formula>
    </cfRule>
  </conditionalFormatting>
  <conditionalFormatting sqref="B43">
    <cfRule type="containsText" dxfId="863" priority="461" operator="containsText" text="ложь">
      <formula>NOT(ISERROR(SEARCH("ложь",B43)))</formula>
    </cfRule>
  </conditionalFormatting>
  <conditionalFormatting sqref="B44">
    <cfRule type="containsText" dxfId="862" priority="460" operator="containsText" text="ложь">
      <formula>NOT(ISERROR(SEARCH("ложь",B44)))</formula>
    </cfRule>
  </conditionalFormatting>
  <conditionalFormatting sqref="AI42:AI44">
    <cfRule type="containsText" dxfId="861" priority="459" operator="containsText" text="ложь">
      <formula>NOT(ISERROR(SEARCH("ложь",AI42)))</formula>
    </cfRule>
  </conditionalFormatting>
  <conditionalFormatting sqref="W42:W44">
    <cfRule type="containsText" dxfId="860" priority="458" operator="containsText" text="ложь">
      <formula>NOT(ISERROR(SEARCH("ложь",W42)))</formula>
    </cfRule>
  </conditionalFormatting>
  <conditionalFormatting sqref="AC42:AC44">
    <cfRule type="containsText" dxfId="859" priority="456" operator="containsText" text="ложь">
      <formula>NOT(ISERROR(SEARCH("ложь",AC42)))</formula>
    </cfRule>
  </conditionalFormatting>
  <conditionalFormatting sqref="E42:E44 Q42:Q44 K42:K44">
    <cfRule type="containsText" dxfId="858" priority="455" operator="containsText" text="ложь">
      <formula>NOT(ISERROR(SEARCH("ложь",E42)))</formula>
    </cfRule>
  </conditionalFormatting>
  <conditionalFormatting sqref="AC61">
    <cfRule type="containsText" dxfId="857" priority="438" operator="containsText" text="ложь">
      <formula>NOT(ISERROR(SEARCH("ложь",AC61)))</formula>
    </cfRule>
  </conditionalFormatting>
  <conditionalFormatting sqref="A61:B61">
    <cfRule type="containsText" dxfId="856" priority="443" operator="containsText" text="ложь">
      <formula>NOT(ISERROR(SEARCH("ложь",A61)))</formula>
    </cfRule>
  </conditionalFormatting>
  <conditionalFormatting sqref="C61:W61">
    <cfRule type="containsText" dxfId="855" priority="442" operator="containsText" text="ложь">
      <formula>NOT(ISERROR(SEARCH("ложь",C61)))</formula>
    </cfRule>
  </conditionalFormatting>
  <conditionalFormatting sqref="X61:AB61">
    <cfRule type="containsText" dxfId="854" priority="441" operator="containsText" text="ложь">
      <formula>NOT(ISERROR(SEARCH("ложь",X61)))</formula>
    </cfRule>
  </conditionalFormatting>
  <conditionalFormatting sqref="AI60">
    <cfRule type="containsText" dxfId="853" priority="435" operator="containsText" text="ложь">
      <formula>NOT(ISERROR(SEARCH("ложь",AI60)))</formula>
    </cfRule>
  </conditionalFormatting>
  <conditionalFormatting sqref="C60 W60 Q60 K60 E60">
    <cfRule type="containsText" dxfId="852" priority="434" operator="containsText" text="ложь">
      <formula>NOT(ISERROR(SEARCH("ложь",C60)))</formula>
    </cfRule>
  </conditionalFormatting>
  <conditionalFormatting sqref="AC60">
    <cfRule type="containsText" dxfId="851" priority="430" operator="containsText" text="ложь">
      <formula>NOT(ISERROR(SEARCH("ложь",AC60)))</formula>
    </cfRule>
  </conditionalFormatting>
  <conditionalFormatting sqref="B60">
    <cfRule type="containsText" dxfId="850" priority="426" operator="containsText" text="ложь">
      <formula>NOT(ISERROR(SEARCH("ложь",B60)))</formula>
    </cfRule>
  </conditionalFormatting>
  <conditionalFormatting sqref="A60">
    <cfRule type="containsText" dxfId="849" priority="427" operator="containsText" text="ложь">
      <formula>NOT(ISERROR(SEARCH("ложь",A60)))</formula>
    </cfRule>
  </conditionalFormatting>
  <conditionalFormatting sqref="AC76">
    <cfRule type="containsText" dxfId="848" priority="395" operator="containsText" text="ложь">
      <formula>NOT(ISERROR(SEARCH("ложь",AC76)))</formula>
    </cfRule>
  </conditionalFormatting>
  <conditionalFormatting sqref="A50:A54">
    <cfRule type="containsText" dxfId="847" priority="425" operator="containsText" text="ложь">
      <formula>NOT(ISERROR(SEARCH("ложь",A50)))</formula>
    </cfRule>
  </conditionalFormatting>
  <conditionalFormatting sqref="X50:AB54">
    <cfRule type="containsText" dxfId="846" priority="424" operator="containsText" text="ложь">
      <formula>NOT(ISERROR(SEARCH("ложь",X50)))</formula>
    </cfRule>
  </conditionalFormatting>
  <conditionalFormatting sqref="R50:V54">
    <cfRule type="containsText" dxfId="845" priority="423" operator="containsText" text="ложь">
      <formula>NOT(ISERROR(SEARCH("ложь",R50)))</formula>
    </cfRule>
  </conditionalFormatting>
  <conditionalFormatting sqref="L50:P54">
    <cfRule type="containsText" dxfId="844" priority="422" operator="containsText" text="ложь">
      <formula>NOT(ISERROR(SEARCH("ложь",L50)))</formula>
    </cfRule>
  </conditionalFormatting>
  <conditionalFormatting sqref="J50:J54">
    <cfRule type="containsText" dxfId="843" priority="421" operator="containsText" text="ложь">
      <formula>NOT(ISERROR(SEARCH("ложь",J50)))</formula>
    </cfRule>
  </conditionalFormatting>
  <conditionalFormatting sqref="D50:D54">
    <cfRule type="containsText" dxfId="842" priority="420" operator="containsText" text="ложь">
      <formula>NOT(ISERROR(SEARCH("ложь",D50)))</formula>
    </cfRule>
  </conditionalFormatting>
  <conditionalFormatting sqref="AJ42:AJ44">
    <cfRule type="containsText" dxfId="841" priority="419" operator="containsText" text="ложь">
      <formula>NOT(ISERROR(SEARCH("ложь",AJ42)))</formula>
    </cfRule>
  </conditionalFormatting>
  <conditionalFormatting sqref="AD42:AH44">
    <cfRule type="containsText" dxfId="840" priority="418" operator="containsText" text="ложь">
      <formula>NOT(ISERROR(SEARCH("ложь",AD42)))</formula>
    </cfRule>
  </conditionalFormatting>
  <conditionalFormatting sqref="X42:AB44">
    <cfRule type="containsText" dxfId="839" priority="417" operator="containsText" text="ложь">
      <formula>NOT(ISERROR(SEARCH("ложь",X42)))</formula>
    </cfRule>
  </conditionalFormatting>
  <conditionalFormatting sqref="R42:V44">
    <cfRule type="containsText" dxfId="838" priority="416" operator="containsText" text="ложь">
      <formula>NOT(ISERROR(SEARCH("ложь",R42)))</formula>
    </cfRule>
  </conditionalFormatting>
  <conditionalFormatting sqref="L42:P44">
    <cfRule type="containsText" dxfId="837" priority="415" operator="containsText" text="ложь">
      <formula>NOT(ISERROR(SEARCH("ложь",L42)))</formula>
    </cfRule>
  </conditionalFormatting>
  <conditionalFormatting sqref="J42:J44">
    <cfRule type="containsText" dxfId="836" priority="414" operator="containsText" text="ложь">
      <formula>NOT(ISERROR(SEARCH("ложь",J42)))</formula>
    </cfRule>
  </conditionalFormatting>
  <conditionalFormatting sqref="D42:D44">
    <cfRule type="containsText" dxfId="835" priority="413" operator="containsText" text="ложь">
      <formula>NOT(ISERROR(SEARCH("ложь",D42)))</formula>
    </cfRule>
  </conditionalFormatting>
  <conditionalFormatting sqref="AJ60">
    <cfRule type="containsText" dxfId="834" priority="412" operator="containsText" text="ложь">
      <formula>NOT(ISERROR(SEARCH("ложь",AJ60)))</formula>
    </cfRule>
  </conditionalFormatting>
  <conditionalFormatting sqref="AD60:AH60">
    <cfRule type="containsText" dxfId="833" priority="411" operator="containsText" text="ложь">
      <formula>NOT(ISERROR(SEARCH("ложь",AD60)))</formula>
    </cfRule>
  </conditionalFormatting>
  <conditionalFormatting sqref="X60:AB60">
    <cfRule type="containsText" dxfId="832" priority="410" operator="containsText" text="ложь">
      <formula>NOT(ISERROR(SEARCH("ложь",X60)))</formula>
    </cfRule>
  </conditionalFormatting>
  <conditionalFormatting sqref="R60:V60">
    <cfRule type="containsText" dxfId="831" priority="409" operator="containsText" text="ложь">
      <formula>NOT(ISERROR(SEARCH("ложь",R60)))</formula>
    </cfRule>
  </conditionalFormatting>
  <conditionalFormatting sqref="L60:P60">
    <cfRule type="containsText" dxfId="830" priority="408" operator="containsText" text="ложь">
      <formula>NOT(ISERROR(SEARCH("ложь",L60)))</formula>
    </cfRule>
  </conditionalFormatting>
  <conditionalFormatting sqref="F60:J60">
    <cfRule type="containsText" dxfId="829" priority="407" operator="containsText" text="ложь">
      <formula>NOT(ISERROR(SEARCH("ложь",F60)))</formula>
    </cfRule>
  </conditionalFormatting>
  <conditionalFormatting sqref="D60">
    <cfRule type="containsText" dxfId="828" priority="406" operator="containsText" text="ложь">
      <formula>NOT(ISERROR(SEARCH("ложь",D60)))</formula>
    </cfRule>
  </conditionalFormatting>
  <conditionalFormatting sqref="X72:AB75 X100:AB103">
    <cfRule type="containsText" dxfId="827" priority="405" operator="containsText" text="ложь">
      <formula>NOT(ISERROR(SEARCH("ложь",X72)))</formula>
    </cfRule>
  </conditionalFormatting>
  <conditionalFormatting sqref="R72:V75 R100:V103 R71:T71">
    <cfRule type="containsText" dxfId="826" priority="404" operator="containsText" text="ложь">
      <formula>NOT(ISERROR(SEARCH("ложь",R71)))</formula>
    </cfRule>
  </conditionalFormatting>
  <conditionalFormatting sqref="A76:B76">
    <cfRule type="containsText" dxfId="825" priority="403" operator="containsText" text="ложь">
      <formula>NOT(ISERROR(SEARCH("ложь",A76)))</formula>
    </cfRule>
  </conditionalFormatting>
  <conditionalFormatting sqref="C76:Q76">
    <cfRule type="containsText" dxfId="824" priority="402" operator="containsText" text="ложь">
      <formula>NOT(ISERROR(SEARCH("ложь",C76)))</formula>
    </cfRule>
  </conditionalFormatting>
  <conditionalFormatting sqref="R76:W76">
    <cfRule type="containsText" dxfId="823" priority="401" operator="containsText" text="ложь">
      <formula>NOT(ISERROR(SEARCH("ложь",R76)))</formula>
    </cfRule>
  </conditionalFormatting>
  <conditionalFormatting sqref="X76:AB76">
    <cfRule type="containsText" dxfId="822" priority="398" operator="containsText" text="ложь">
      <formula>NOT(ISERROR(SEARCH("ложь",X76)))</formula>
    </cfRule>
  </conditionalFormatting>
  <conditionalFormatting sqref="A104:B104">
    <cfRule type="containsText" dxfId="821" priority="383" operator="containsText" text="ложь">
      <formula>NOT(ISERROR(SEARCH("ложь",A104)))</formula>
    </cfRule>
  </conditionalFormatting>
  <conditionalFormatting sqref="A77:A87 A89:A96 A98">
    <cfRule type="containsText" dxfId="820" priority="392" operator="containsText" text="ложь">
      <formula>NOT(ISERROR(SEARCH("ложь",A77)))</formula>
    </cfRule>
  </conditionalFormatting>
  <conditionalFormatting sqref="A88">
    <cfRule type="containsText" dxfId="819" priority="391" operator="containsText" text="ложь">
      <formula>NOT(ISERROR(SEARCH("ложь",A88)))</formula>
    </cfRule>
  </conditionalFormatting>
  <conditionalFormatting sqref="A97">
    <cfRule type="containsText" dxfId="818" priority="390" operator="containsText" text="ложь">
      <formula>NOT(ISERROR(SEARCH("ложь",A97)))</formula>
    </cfRule>
  </conditionalFormatting>
  <conditionalFormatting sqref="B99 AC99:AJ99">
    <cfRule type="containsText" dxfId="817" priority="388" operator="containsText" text="ложь">
      <formula>NOT(ISERROR(SEARCH("ложь",B99)))</formula>
    </cfRule>
  </conditionalFormatting>
  <conditionalFormatting sqref="W99 C99 E99 K99 Q99">
    <cfRule type="containsText" dxfId="816" priority="387" operator="containsText" text="ложь">
      <formula>NOT(ISERROR(SEARCH("ложь",C99)))</formula>
    </cfRule>
  </conditionalFormatting>
  <conditionalFormatting sqref="A99">
    <cfRule type="containsText" dxfId="815" priority="384" operator="containsText" text="ложь">
      <formula>NOT(ISERROR(SEARCH("ложь",A99)))</formula>
    </cfRule>
  </conditionalFormatting>
  <conditionalFormatting sqref="C104:Q104 C105:C117 E105:E117 K105:K117 Q105:Q117">
    <cfRule type="containsText" dxfId="814" priority="382" operator="containsText" text="ложь">
      <formula>NOT(ISERROR(SEARCH("ложь",C104)))</formula>
    </cfRule>
  </conditionalFormatting>
  <conditionalFormatting sqref="R104:W104 W105:W117">
    <cfRule type="containsText" dxfId="813" priority="381" operator="containsText" text="ложь">
      <formula>NOT(ISERROR(SEARCH("ложь",R104)))</formula>
    </cfRule>
  </conditionalFormatting>
  <conditionalFormatting sqref="X104:AB104">
    <cfRule type="containsText" dxfId="812" priority="378" operator="containsText" text="ложь">
      <formula>NOT(ISERROR(SEARCH("ложь",X104)))</formula>
    </cfRule>
  </conditionalFormatting>
  <conditionalFormatting sqref="AC104:AC117">
    <cfRule type="containsText" dxfId="811" priority="375" operator="containsText" text="ложь">
      <formula>NOT(ISERROR(SEARCH("ложь",AC104)))</formula>
    </cfRule>
  </conditionalFormatting>
  <conditionalFormatting sqref="A113:A114 A118 A132:A133 A120:A127">
    <cfRule type="containsText" dxfId="810" priority="372" operator="containsText" text="ложь">
      <formula>NOT(ISERROR(SEARCH("ложь",A113)))</formula>
    </cfRule>
  </conditionalFormatting>
  <conditionalFormatting sqref="A106:A112">
    <cfRule type="containsText" dxfId="809" priority="371" operator="containsText" text="ложь">
      <formula>NOT(ISERROR(SEARCH("ложь",A106)))</formula>
    </cfRule>
  </conditionalFormatting>
  <conditionalFormatting sqref="A115:A116">
    <cfRule type="containsText" dxfId="808" priority="370" operator="containsText" text="ложь">
      <formula>NOT(ISERROR(SEARCH("ложь",A115)))</formula>
    </cfRule>
  </conditionalFormatting>
  <conditionalFormatting sqref="A117">
    <cfRule type="containsText" dxfId="807" priority="369" operator="containsText" text="ложь">
      <formula>NOT(ISERROR(SEARCH("ложь",A117)))</formula>
    </cfRule>
  </conditionalFormatting>
  <conditionalFormatting sqref="A129:A130">
    <cfRule type="containsText" dxfId="806" priority="368" operator="containsText" text="ложь">
      <formula>NOT(ISERROR(SEARCH("ложь",A129)))</formula>
    </cfRule>
  </conditionalFormatting>
  <conditionalFormatting sqref="A131">
    <cfRule type="containsText" dxfId="805" priority="367" operator="containsText" text="ложь">
      <formula>NOT(ISERROR(SEARCH("ложь",A131)))</formula>
    </cfRule>
  </conditionalFormatting>
  <conditionalFormatting sqref="A105">
    <cfRule type="containsText" dxfId="804" priority="366" operator="containsText" text="ложь">
      <formula>NOT(ISERROR(SEARCH("ложь",A105)))</formula>
    </cfRule>
  </conditionalFormatting>
  <conditionalFormatting sqref="A119">
    <cfRule type="containsText" dxfId="803" priority="365" operator="containsText" text="ложь">
      <formula>NOT(ISERROR(SEARCH("ложь",A119)))</formula>
    </cfRule>
  </conditionalFormatting>
  <conditionalFormatting sqref="A128">
    <cfRule type="containsText" dxfId="802" priority="364" operator="containsText" text="ложь">
      <formula>NOT(ISERROR(SEARCH("ложь",A128)))</formula>
    </cfRule>
  </conditionalFormatting>
  <conditionalFormatting sqref="B105:B133">
    <cfRule type="containsText" dxfId="801" priority="363" operator="containsText" text="ложь">
      <formula>NOT(ISERROR(SEARCH("ложь",B105)))</formula>
    </cfRule>
  </conditionalFormatting>
  <conditionalFormatting sqref="AB71">
    <cfRule type="containsText" dxfId="800" priority="360" operator="containsText" text="ложь">
      <formula>NOT(ISERROR(SEARCH("ложь",AB71)))</formula>
    </cfRule>
  </conditionalFormatting>
  <conditionalFormatting sqref="AA71">
    <cfRule type="containsText" dxfId="799" priority="359" operator="containsText" text="ложь">
      <formula>NOT(ISERROR(SEARCH("ложь",AA71)))</formula>
    </cfRule>
  </conditionalFormatting>
  <conditionalFormatting sqref="Z71">
    <cfRule type="containsText" dxfId="798" priority="358" operator="containsText" text="ложь">
      <formula>NOT(ISERROR(SEARCH("ложь",Z71)))</formula>
    </cfRule>
  </conditionalFormatting>
  <conditionalFormatting sqref="Y71">
    <cfRule type="containsText" dxfId="797" priority="357" operator="containsText" text="ложь">
      <formula>NOT(ISERROR(SEARCH("ложь",Y71)))</formula>
    </cfRule>
  </conditionalFormatting>
  <conditionalFormatting sqref="X71">
    <cfRule type="containsText" dxfId="796" priority="356" operator="containsText" text="ложь">
      <formula>NOT(ISERROR(SEARCH("ложь",X71)))</formula>
    </cfRule>
  </conditionalFormatting>
  <conditionalFormatting sqref="V71">
    <cfRule type="containsText" dxfId="795" priority="355" operator="containsText" text="ложь">
      <formula>NOT(ISERROR(SEARCH("ложь",V71)))</formula>
    </cfRule>
  </conditionalFormatting>
  <conditionalFormatting sqref="U71">
    <cfRule type="containsText" dxfId="794" priority="354" operator="containsText" text="ложь">
      <formula>NOT(ISERROR(SEARCH("ложь",U71)))</formula>
    </cfRule>
  </conditionalFormatting>
  <conditionalFormatting sqref="AB77:AB98">
    <cfRule type="containsText" dxfId="793" priority="353" operator="containsText" text="ложь">
      <formula>NOT(ISERROR(SEARCH("ложь",AB77)))</formula>
    </cfRule>
  </conditionalFormatting>
  <conditionalFormatting sqref="AB99">
    <cfRule type="containsText" dxfId="792" priority="352" operator="containsText" text="ложь">
      <formula>NOT(ISERROR(SEARCH("ложь",AB99)))</formula>
    </cfRule>
  </conditionalFormatting>
  <conditionalFormatting sqref="AH118:AH133">
    <cfRule type="containsText" dxfId="791" priority="341" operator="containsText" text="ложь">
      <formula>NOT(ISERROR(SEARCH("ложь",AH118)))</formula>
    </cfRule>
  </conditionalFormatting>
  <conditionalFormatting sqref="AH105:AH117">
    <cfRule type="containsText" dxfId="790" priority="340" operator="containsText" text="ложь">
      <formula>NOT(ISERROR(SEARCH("ложь",AH105)))</formula>
    </cfRule>
  </conditionalFormatting>
  <conditionalFormatting sqref="AG118:AG133">
    <cfRule type="containsText" dxfId="789" priority="339" operator="containsText" text="ложь">
      <formula>NOT(ISERROR(SEARCH("ложь",AG118)))</formula>
    </cfRule>
  </conditionalFormatting>
  <conditionalFormatting sqref="AG105:AG117">
    <cfRule type="containsText" dxfId="788" priority="338" operator="containsText" text="ложь">
      <formula>NOT(ISERROR(SEARCH("ложь",AG105)))</formula>
    </cfRule>
  </conditionalFormatting>
  <conditionalFormatting sqref="AF118:AF133">
    <cfRule type="containsText" dxfId="787" priority="337" operator="containsText" text="ложь">
      <formula>NOT(ISERROR(SEARCH("ложь",AF118)))</formula>
    </cfRule>
  </conditionalFormatting>
  <conditionalFormatting sqref="AF105:AF117">
    <cfRule type="containsText" dxfId="786" priority="336" operator="containsText" text="ложь">
      <formula>NOT(ISERROR(SEARCH("ложь",AF105)))</formula>
    </cfRule>
  </conditionalFormatting>
  <conditionalFormatting sqref="AE118:AE133">
    <cfRule type="containsText" dxfId="785" priority="335" operator="containsText" text="ложь">
      <formula>NOT(ISERROR(SEARCH("ложь",AE118)))</formula>
    </cfRule>
  </conditionalFormatting>
  <conditionalFormatting sqref="AE105:AE117">
    <cfRule type="containsText" dxfId="784" priority="334" operator="containsText" text="ложь">
      <formula>NOT(ISERROR(SEARCH("ложь",AE105)))</formula>
    </cfRule>
  </conditionalFormatting>
  <conditionalFormatting sqref="AD118:AD133">
    <cfRule type="containsText" dxfId="783" priority="333" operator="containsText" text="ложь">
      <formula>NOT(ISERROR(SEARCH("ложь",AD118)))</formula>
    </cfRule>
  </conditionalFormatting>
  <conditionalFormatting sqref="AD105:AD117">
    <cfRule type="containsText" dxfId="782" priority="332" operator="containsText" text="ложь">
      <formula>NOT(ISERROR(SEARCH("ложь",AD105)))</formula>
    </cfRule>
  </conditionalFormatting>
  <conditionalFormatting sqref="AB118:AB133">
    <cfRule type="containsText" dxfId="781" priority="331" operator="containsText" text="ложь">
      <formula>NOT(ISERROR(SEARCH("ложь",AB118)))</formula>
    </cfRule>
  </conditionalFormatting>
  <conditionalFormatting sqref="AB105:AB117">
    <cfRule type="containsText" dxfId="780" priority="330" operator="containsText" text="ложь">
      <formula>NOT(ISERROR(SEARCH("ложь",AB105)))</formula>
    </cfRule>
  </conditionalFormatting>
  <conditionalFormatting sqref="A135:A137">
    <cfRule type="containsText" dxfId="779" priority="318" operator="containsText" text="ложь">
      <formula>NOT(ISERROR(SEARCH("ложь",A135)))</formula>
    </cfRule>
  </conditionalFormatting>
  <conditionalFormatting sqref="AK45:AK54 AL46:AO54">
    <cfRule type="containsText" dxfId="778" priority="317" operator="containsText" text="ложь">
      <formula>NOT(ISERROR(SEARCH("ложь",AK45)))</formula>
    </cfRule>
  </conditionalFormatting>
  <conditionalFormatting sqref="AK42:AO44">
    <cfRule type="containsText" dxfId="777" priority="316" operator="containsText" text="ложь">
      <formula>NOT(ISERROR(SEARCH("ложь",AK42)))</formula>
    </cfRule>
  </conditionalFormatting>
  <conditionalFormatting sqref="AK61:AO71">
    <cfRule type="containsText" dxfId="776" priority="315" operator="containsText" text="ложь">
      <formula>NOT(ISERROR(SEARCH("ложь",AK61)))</formula>
    </cfRule>
  </conditionalFormatting>
  <conditionalFormatting sqref="AK60:AO60">
    <cfRule type="containsText" dxfId="775" priority="314" operator="containsText" text="ложь">
      <formula>NOT(ISERROR(SEARCH("ложь",AK60)))</formula>
    </cfRule>
  </conditionalFormatting>
  <conditionalFormatting sqref="AK88:AO98">
    <cfRule type="containsText" dxfId="774" priority="313" operator="containsText" text="ложь">
      <formula>NOT(ISERROR(SEARCH("ложь",AK88)))</formula>
    </cfRule>
  </conditionalFormatting>
  <conditionalFormatting sqref="AK99:AO99">
    <cfRule type="containsText" dxfId="773" priority="312" operator="containsText" text="ложь">
      <formula>NOT(ISERROR(SEARCH("ложь",AK99)))</formula>
    </cfRule>
  </conditionalFormatting>
  <conditionalFormatting sqref="B23">
    <cfRule type="containsText" dxfId="772" priority="309" operator="containsText" text="ложь">
      <formula>NOT(ISERROR(SEARCH("ложь",B23)))</formula>
    </cfRule>
  </conditionalFormatting>
  <conditionalFormatting sqref="B24">
    <cfRule type="containsText" dxfId="771" priority="308" operator="containsText" text="ложь">
      <formula>NOT(ISERROR(SEARCH("ложь",B24)))</formula>
    </cfRule>
  </conditionalFormatting>
  <conditionalFormatting sqref="AJ23">
    <cfRule type="containsText" dxfId="770" priority="307" operator="containsText" text="ложь">
      <formula>NOT(ISERROR(SEARCH("ложь",AJ23)))</formula>
    </cfRule>
  </conditionalFormatting>
  <conditionalFormatting sqref="AK23:AO23">
    <cfRule type="containsText" dxfId="769" priority="306" operator="containsText" text="ложь">
      <formula>NOT(ISERROR(SEARCH("ложь",AK23)))</formula>
    </cfRule>
  </conditionalFormatting>
  <conditionalFormatting sqref="AJ24">
    <cfRule type="containsText" dxfId="768" priority="305" operator="containsText" text="ложь">
      <formula>NOT(ISERROR(SEARCH("ложь",AJ24)))</formula>
    </cfRule>
  </conditionalFormatting>
  <conditionalFormatting sqref="AK24:AO24">
    <cfRule type="containsText" dxfId="767" priority="304" operator="containsText" text="ложь">
      <formula>NOT(ISERROR(SEARCH("ложь",AK24)))</formula>
    </cfRule>
  </conditionalFormatting>
  <conditionalFormatting sqref="B33">
    <cfRule type="containsText" dxfId="766" priority="301" operator="containsText" text="ложь">
      <formula>NOT(ISERROR(SEARCH("ложь",B33)))</formula>
    </cfRule>
  </conditionalFormatting>
  <conditionalFormatting sqref="B34">
    <cfRule type="containsText" dxfId="765" priority="300" operator="containsText" text="ложь">
      <formula>NOT(ISERROR(SEARCH("ложь",B34)))</formula>
    </cfRule>
  </conditionalFormatting>
  <conditionalFormatting sqref="AK33:AO33">
    <cfRule type="containsText" dxfId="764" priority="293" operator="containsText" text="ложь">
      <formula>NOT(ISERROR(SEARCH("ложь",AK33)))</formula>
    </cfRule>
  </conditionalFormatting>
  <conditionalFormatting sqref="AJ33">
    <cfRule type="containsText" dxfId="763" priority="294" operator="containsText" text="ложь">
      <formula>NOT(ISERROR(SEARCH("ложь",AJ33)))</formula>
    </cfRule>
  </conditionalFormatting>
  <conditionalFormatting sqref="AJ34">
    <cfRule type="containsText" dxfId="762" priority="292" operator="containsText" text="ложь">
      <formula>NOT(ISERROR(SEARCH("ложь",AJ34)))</formula>
    </cfRule>
  </conditionalFormatting>
  <conditionalFormatting sqref="AK34:AO34">
    <cfRule type="containsText" dxfId="761" priority="291" operator="containsText" text="ложь">
      <formula>NOT(ISERROR(SEARCH("ложь",AK34)))</formula>
    </cfRule>
  </conditionalFormatting>
  <conditionalFormatting sqref="A23:A24">
    <cfRule type="containsText" dxfId="760" priority="290" operator="containsText" text="ложь">
      <formula>NOT(ISERROR(SEARCH("ложь",A23)))</formula>
    </cfRule>
  </conditionalFormatting>
  <conditionalFormatting sqref="A31:A32">
    <cfRule type="containsText" dxfId="759" priority="289" operator="containsText" text="ложь">
      <formula>NOT(ISERROR(SEARCH("ложь",A31)))</formula>
    </cfRule>
  </conditionalFormatting>
  <conditionalFormatting sqref="A33:A34">
    <cfRule type="containsText" dxfId="758" priority="288" operator="containsText" text="ложь">
      <formula>NOT(ISERROR(SEARCH("ложь",A33)))</formula>
    </cfRule>
  </conditionalFormatting>
  <conditionalFormatting sqref="AP7:AT7">
    <cfRule type="containsText" dxfId="757" priority="188" operator="containsText" text="ложь">
      <formula>NOT(ISERROR(SEARCH("ложь",AP7)))</formula>
    </cfRule>
  </conditionalFormatting>
  <conditionalFormatting sqref="AP1:AT1">
    <cfRule type="containsText" dxfId="756" priority="187" operator="containsText" text="ложь">
      <formula>NOT(ISERROR(SEARCH("ложь",AP1)))</formula>
    </cfRule>
  </conditionalFormatting>
  <conditionalFormatting sqref="AP9:AT9">
    <cfRule type="containsText" dxfId="755" priority="186" operator="containsText" text="ложь">
      <formula>NOT(ISERROR(SEARCH("ложь",AP9)))</formula>
    </cfRule>
  </conditionalFormatting>
  <conditionalFormatting sqref="AP19:AT19">
    <cfRule type="containsText" dxfId="754" priority="185" operator="containsText" text="ложь">
      <formula>NOT(ISERROR(SEARCH("ложь",AP19)))</formula>
    </cfRule>
  </conditionalFormatting>
  <conditionalFormatting sqref="AP29:AT29">
    <cfRule type="containsText" dxfId="753" priority="184" operator="containsText" text="ложь">
      <formula>NOT(ISERROR(SEARCH("ложь",AP29)))</formula>
    </cfRule>
  </conditionalFormatting>
  <conditionalFormatting sqref="AP41:AT41">
    <cfRule type="containsText" dxfId="752" priority="183" operator="containsText" text="ложь">
      <formula>NOT(ISERROR(SEARCH("ложь",AP41)))</formula>
    </cfRule>
  </conditionalFormatting>
  <conditionalFormatting sqref="AP59:AT59">
    <cfRule type="containsText" dxfId="751" priority="182" operator="containsText" text="ложь">
      <formula>NOT(ISERROR(SEARCH("ложь",AP59)))</formula>
    </cfRule>
  </conditionalFormatting>
  <conditionalFormatting sqref="AP76:AT76">
    <cfRule type="containsText" dxfId="750" priority="181" operator="containsText" text="ложь">
      <formula>NOT(ISERROR(SEARCH("ложь",AP76)))</formula>
    </cfRule>
  </conditionalFormatting>
  <conditionalFormatting sqref="AP104:AT104">
    <cfRule type="containsText" dxfId="749" priority="180" operator="containsText" text="ложь">
      <formula>NOT(ISERROR(SEARCH("ложь",AP104)))</formula>
    </cfRule>
  </conditionalFormatting>
  <conditionalFormatting sqref="AP24:AQ24">
    <cfRule type="containsText" dxfId="748" priority="152" operator="containsText" text="ложь">
      <formula>NOT(ISERROR(SEARCH("ложь",AP24)))</formula>
    </cfRule>
  </conditionalFormatting>
  <conditionalFormatting sqref="AP30:AQ32">
    <cfRule type="containsText" dxfId="747" priority="151" operator="containsText" text="ложь">
      <formula>NOT(ISERROR(SEARCH("ложь",AP30)))</formula>
    </cfRule>
  </conditionalFormatting>
  <conditionalFormatting sqref="AP34:AQ34">
    <cfRule type="containsText" dxfId="746" priority="149" operator="containsText" text="ложь">
      <formula>NOT(ISERROR(SEARCH("ложь",AP34)))</formula>
    </cfRule>
  </conditionalFormatting>
  <conditionalFormatting sqref="AP46:AQ54">
    <cfRule type="containsText" dxfId="745" priority="147" operator="containsText" text="ложь">
      <formula>NOT(ISERROR(SEARCH("ложь",AP46)))</formula>
    </cfRule>
  </conditionalFormatting>
  <conditionalFormatting sqref="AP42:AQ44">
    <cfRule type="containsText" dxfId="744" priority="146" operator="containsText" text="ложь">
      <formula>NOT(ISERROR(SEARCH("ложь",AP42)))</formula>
    </cfRule>
  </conditionalFormatting>
  <conditionalFormatting sqref="AP60:AQ60">
    <cfRule type="containsText" dxfId="743" priority="144" operator="containsText" text="ложь">
      <formula>NOT(ISERROR(SEARCH("ложь",AP60)))</formula>
    </cfRule>
  </conditionalFormatting>
  <conditionalFormatting sqref="AP88:AQ98">
    <cfRule type="containsText" dxfId="742" priority="142" operator="containsText" text="ложь">
      <formula>NOT(ISERROR(SEARCH("ложь",AP88)))</formula>
    </cfRule>
  </conditionalFormatting>
  <conditionalFormatting sqref="AP99:AQ99">
    <cfRule type="containsText" dxfId="741" priority="141" operator="containsText" text="ложь">
      <formula>NOT(ISERROR(SEARCH("ложь",AP99)))</formula>
    </cfRule>
  </conditionalFormatting>
  <conditionalFormatting sqref="AR10:AT14">
    <cfRule type="containsText" dxfId="740" priority="139" operator="containsText" text="ложь">
      <formula>NOT(ISERROR(SEARCH("ложь",AR10)))</formula>
    </cfRule>
  </conditionalFormatting>
  <conditionalFormatting sqref="AR20:AT22">
    <cfRule type="containsText" dxfId="739" priority="138" operator="containsText" text="ложь">
      <formula>NOT(ISERROR(SEARCH("ложь",AR20)))</formula>
    </cfRule>
  </conditionalFormatting>
  <conditionalFormatting sqref="AR30:AT32">
    <cfRule type="containsText" dxfId="738" priority="135" operator="containsText" text="ложь">
      <formula>NOT(ISERROR(SEARCH("ложь",AR30)))</formula>
    </cfRule>
  </conditionalFormatting>
  <conditionalFormatting sqref="AR33:AT33">
    <cfRule type="containsText" dxfId="737" priority="134" operator="containsText" text="ложь">
      <formula>NOT(ISERROR(SEARCH("ложь",AR33)))</formula>
    </cfRule>
  </conditionalFormatting>
  <conditionalFormatting sqref="AR34:AT34">
    <cfRule type="containsText" dxfId="736" priority="133" operator="containsText" text="ложь">
      <formula>NOT(ISERROR(SEARCH("ложь",AR34)))</formula>
    </cfRule>
  </conditionalFormatting>
  <conditionalFormatting sqref="AR46:AT54">
    <cfRule type="containsText" dxfId="735" priority="131" operator="containsText" text="ложь">
      <formula>NOT(ISERROR(SEARCH("ложь",AR46)))</formula>
    </cfRule>
  </conditionalFormatting>
  <conditionalFormatting sqref="AR42:AT44">
    <cfRule type="containsText" dxfId="734" priority="130" operator="containsText" text="ложь">
      <formula>NOT(ISERROR(SEARCH("ложь",AR42)))</formula>
    </cfRule>
  </conditionalFormatting>
  <conditionalFormatting sqref="AR61:AT71">
    <cfRule type="containsText" dxfId="733" priority="129" operator="containsText" text="ложь">
      <formula>NOT(ISERROR(SEARCH("ложь",AR61)))</formula>
    </cfRule>
  </conditionalFormatting>
  <conditionalFormatting sqref="AP10:AQ14">
    <cfRule type="containsText" dxfId="732" priority="155" operator="containsText" text="ложь">
      <formula>NOT(ISERROR(SEARCH("ложь",AP10)))</formula>
    </cfRule>
  </conditionalFormatting>
  <conditionalFormatting sqref="AP20:AQ22">
    <cfRule type="containsText" dxfId="731" priority="154" operator="containsText" text="ложь">
      <formula>NOT(ISERROR(SEARCH("ложь",AP20)))</formula>
    </cfRule>
  </conditionalFormatting>
  <conditionalFormatting sqref="AP23:AQ23">
    <cfRule type="containsText" dxfId="730" priority="153" operator="containsText" text="ложь">
      <formula>NOT(ISERROR(SEARCH("ложь",AP23)))</formula>
    </cfRule>
  </conditionalFormatting>
  <conditionalFormatting sqref="AP33:AQ33">
    <cfRule type="containsText" dxfId="729" priority="150" operator="containsText" text="ложь">
      <formula>NOT(ISERROR(SEARCH("ложь",AP33)))</formula>
    </cfRule>
  </conditionalFormatting>
  <conditionalFormatting sqref="AP45:AQ45">
    <cfRule type="containsText" dxfId="728" priority="148" operator="containsText" text="ложь">
      <formula>NOT(ISERROR(SEARCH("ложь",AP45)))</formula>
    </cfRule>
  </conditionalFormatting>
  <conditionalFormatting sqref="AP61:AQ71">
    <cfRule type="containsText" dxfId="727" priority="145" operator="containsText" text="ложь">
      <formula>NOT(ISERROR(SEARCH("ложь",AP61)))</formula>
    </cfRule>
  </conditionalFormatting>
  <conditionalFormatting sqref="AP77:AQ87">
    <cfRule type="containsText" dxfId="726" priority="143" operator="containsText" text="ложь">
      <formula>NOT(ISERROR(SEARCH("ложь",AP77)))</formula>
    </cfRule>
  </conditionalFormatting>
  <conditionalFormatting sqref="AP105:AQ133">
    <cfRule type="containsText" dxfId="725" priority="140" operator="containsText" text="ложь">
      <formula>NOT(ISERROR(SEARCH("ложь",AP105)))</formula>
    </cfRule>
  </conditionalFormatting>
  <conditionalFormatting sqref="AR23:AT23">
    <cfRule type="containsText" dxfId="724" priority="137" operator="containsText" text="ложь">
      <formula>NOT(ISERROR(SEARCH("ложь",AR23)))</formula>
    </cfRule>
  </conditionalFormatting>
  <conditionalFormatting sqref="AR24:AT24">
    <cfRule type="containsText" dxfId="723" priority="136" operator="containsText" text="ложь">
      <formula>NOT(ISERROR(SEARCH("ложь",AR24)))</formula>
    </cfRule>
  </conditionalFormatting>
  <conditionalFormatting sqref="AR45:AT45">
    <cfRule type="containsText" dxfId="722" priority="132" operator="containsText" text="ложь">
      <formula>NOT(ISERROR(SEARCH("ложь",AR45)))</formula>
    </cfRule>
  </conditionalFormatting>
  <conditionalFormatting sqref="AR60:AT60">
    <cfRule type="containsText" dxfId="721" priority="128" operator="containsText" text="ложь">
      <formula>NOT(ISERROR(SEARCH("ложь",AR60)))</formula>
    </cfRule>
  </conditionalFormatting>
  <conditionalFormatting sqref="AR77:AT87">
    <cfRule type="containsText" dxfId="720" priority="127" operator="containsText" text="ложь">
      <formula>NOT(ISERROR(SEARCH("ложь",AR77)))</formula>
    </cfRule>
  </conditionalFormatting>
  <conditionalFormatting sqref="AR88:AT98">
    <cfRule type="containsText" dxfId="719" priority="126" operator="containsText" text="ложь">
      <formula>NOT(ISERROR(SEARCH("ложь",AR88)))</formula>
    </cfRule>
  </conditionalFormatting>
  <conditionalFormatting sqref="AR99:AT99">
    <cfRule type="containsText" dxfId="718" priority="125" operator="containsText" text="ложь">
      <formula>NOT(ISERROR(SEARCH("ложь",AR99)))</formula>
    </cfRule>
  </conditionalFormatting>
  <conditionalFormatting sqref="AR105:AT133">
    <cfRule type="containsText" dxfId="717" priority="124" operator="containsText" text="ложь">
      <formula>NOT(ISERROR(SEARCH("ложь",AR105)))</formula>
    </cfRule>
  </conditionalFormatting>
  <conditionalFormatting sqref="X23:AB24">
    <cfRule type="containsText" dxfId="716" priority="96" operator="containsText" text="ложь">
      <formula>NOT(ISERROR(SEARCH("ложь",X23)))</formula>
    </cfRule>
  </conditionalFormatting>
  <conditionalFormatting sqref="AD23:AH24">
    <cfRule type="containsText" dxfId="715" priority="95" operator="containsText" text="ложь">
      <formula>NOT(ISERROR(SEARCH("ложь",AD23)))</formula>
    </cfRule>
  </conditionalFormatting>
  <conditionalFormatting sqref="F45:F49">
    <cfRule type="containsText" dxfId="714" priority="92" operator="containsText" text="ложь">
      <formula>NOT(ISERROR(SEARCH("ложь",F45)))</formula>
    </cfRule>
  </conditionalFormatting>
  <conditionalFormatting sqref="F50:F54">
    <cfRule type="containsText" dxfId="713" priority="91" operator="containsText" text="ложь">
      <formula>NOT(ISERROR(SEARCH("ложь",F50)))</formula>
    </cfRule>
  </conditionalFormatting>
  <conditionalFormatting sqref="F42:F44">
    <cfRule type="containsText" dxfId="712" priority="90" operator="containsText" text="ложь">
      <formula>NOT(ISERROR(SEARCH("ложь",F42)))</formula>
    </cfRule>
  </conditionalFormatting>
  <conditionalFormatting sqref="G45:G49">
    <cfRule type="containsText" dxfId="711" priority="89" operator="containsText" text="ложь">
      <formula>NOT(ISERROR(SEARCH("ложь",G45)))</formula>
    </cfRule>
  </conditionalFormatting>
  <conditionalFormatting sqref="G50:G54">
    <cfRule type="containsText" dxfId="710" priority="88" operator="containsText" text="ложь">
      <formula>NOT(ISERROR(SEARCH("ложь",G50)))</formula>
    </cfRule>
  </conditionalFormatting>
  <conditionalFormatting sqref="G42:G44">
    <cfRule type="containsText" dxfId="709" priority="87" operator="containsText" text="ложь">
      <formula>NOT(ISERROR(SEARCH("ложь",G42)))</formula>
    </cfRule>
  </conditionalFormatting>
  <conditionalFormatting sqref="H45:H49">
    <cfRule type="containsText" dxfId="708" priority="86" operator="containsText" text="ложь">
      <formula>NOT(ISERROR(SEARCH("ложь",H45)))</formula>
    </cfRule>
  </conditionalFormatting>
  <conditionalFormatting sqref="H50:H54">
    <cfRule type="containsText" dxfId="707" priority="85" operator="containsText" text="ложь">
      <formula>NOT(ISERROR(SEARCH("ложь",H50)))</formula>
    </cfRule>
  </conditionalFormatting>
  <conditionalFormatting sqref="H42:H44">
    <cfRule type="containsText" dxfId="706" priority="84" operator="containsText" text="ложь">
      <formula>NOT(ISERROR(SEARCH("ложь",H42)))</formula>
    </cfRule>
  </conditionalFormatting>
  <conditionalFormatting sqref="I45:I49">
    <cfRule type="containsText" dxfId="705" priority="83" operator="containsText" text="ложь">
      <formula>NOT(ISERROR(SEARCH("ложь",I45)))</formula>
    </cfRule>
  </conditionalFormatting>
  <conditionalFormatting sqref="I50:I54">
    <cfRule type="containsText" dxfId="704" priority="82" operator="containsText" text="ложь">
      <formula>NOT(ISERROR(SEARCH("ложь",I50)))</formula>
    </cfRule>
  </conditionalFormatting>
  <conditionalFormatting sqref="I42:I44">
    <cfRule type="containsText" dxfId="703" priority="81" operator="containsText" text="ложь">
      <formula>NOT(ISERROR(SEARCH("ложь",I42)))</formula>
    </cfRule>
  </conditionalFormatting>
  <conditionalFormatting sqref="D77:D98">
    <cfRule type="containsText" dxfId="702" priority="80" operator="containsText" text="ложь">
      <formula>NOT(ISERROR(SEARCH("ложь",D77)))</formula>
    </cfRule>
  </conditionalFormatting>
  <conditionalFormatting sqref="D99">
    <cfRule type="containsText" dxfId="701" priority="79" operator="containsText" text="ложь">
      <formula>NOT(ISERROR(SEARCH("ложь",D99)))</formula>
    </cfRule>
  </conditionalFormatting>
  <conditionalFormatting sqref="F77:F98">
    <cfRule type="containsText" dxfId="700" priority="78" operator="containsText" text="ложь">
      <formula>NOT(ISERROR(SEARCH("ложь",F77)))</formula>
    </cfRule>
  </conditionalFormatting>
  <conditionalFormatting sqref="F99">
    <cfRule type="containsText" dxfId="699" priority="77" operator="containsText" text="ложь">
      <formula>NOT(ISERROR(SEARCH("ложь",F99)))</formula>
    </cfRule>
  </conditionalFormatting>
  <conditionalFormatting sqref="G77:G98">
    <cfRule type="containsText" dxfId="698" priority="76" operator="containsText" text="ложь">
      <formula>NOT(ISERROR(SEARCH("ложь",G77)))</formula>
    </cfRule>
  </conditionalFormatting>
  <conditionalFormatting sqref="G99">
    <cfRule type="containsText" dxfId="697" priority="75" operator="containsText" text="ложь">
      <formula>NOT(ISERROR(SEARCH("ложь",G99)))</formula>
    </cfRule>
  </conditionalFormatting>
  <conditionalFormatting sqref="H77:H98">
    <cfRule type="containsText" dxfId="696" priority="74" operator="containsText" text="ложь">
      <formula>NOT(ISERROR(SEARCH("ложь",H77)))</formula>
    </cfRule>
  </conditionalFormatting>
  <conditionalFormatting sqref="H99">
    <cfRule type="containsText" dxfId="695" priority="73" operator="containsText" text="ложь">
      <formula>NOT(ISERROR(SEARCH("ложь",H99)))</formula>
    </cfRule>
  </conditionalFormatting>
  <conditionalFormatting sqref="I77:I98">
    <cfRule type="containsText" dxfId="694" priority="72" operator="containsText" text="ложь">
      <formula>NOT(ISERROR(SEARCH("ложь",I77)))</formula>
    </cfRule>
  </conditionalFormatting>
  <conditionalFormatting sqref="I99">
    <cfRule type="containsText" dxfId="693" priority="71" operator="containsText" text="ложь">
      <formula>NOT(ISERROR(SEARCH("ложь",I99)))</formula>
    </cfRule>
  </conditionalFormatting>
  <conditionalFormatting sqref="J77:J98">
    <cfRule type="containsText" dxfId="692" priority="70" operator="containsText" text="ложь">
      <formula>NOT(ISERROR(SEARCH("ложь",J77)))</formula>
    </cfRule>
  </conditionalFormatting>
  <conditionalFormatting sqref="J99">
    <cfRule type="containsText" dxfId="691" priority="69" operator="containsText" text="ложь">
      <formula>NOT(ISERROR(SEARCH("ложь",J99)))</formula>
    </cfRule>
  </conditionalFormatting>
  <conditionalFormatting sqref="L77:L98">
    <cfRule type="containsText" dxfId="690" priority="68" operator="containsText" text="ложь">
      <formula>NOT(ISERROR(SEARCH("ложь",L77)))</formula>
    </cfRule>
  </conditionalFormatting>
  <conditionalFormatting sqref="L99">
    <cfRule type="containsText" dxfId="689" priority="67" operator="containsText" text="ложь">
      <formula>NOT(ISERROR(SEARCH("ложь",L99)))</formula>
    </cfRule>
  </conditionalFormatting>
  <conditionalFormatting sqref="M77:M98">
    <cfRule type="containsText" dxfId="688" priority="66" operator="containsText" text="ложь">
      <formula>NOT(ISERROR(SEARCH("ложь",M77)))</formula>
    </cfRule>
  </conditionalFormatting>
  <conditionalFormatting sqref="M99">
    <cfRule type="containsText" dxfId="687" priority="65" operator="containsText" text="ложь">
      <formula>NOT(ISERROR(SEARCH("ложь",M99)))</formula>
    </cfRule>
  </conditionalFormatting>
  <conditionalFormatting sqref="N77:N98">
    <cfRule type="containsText" dxfId="686" priority="64" operator="containsText" text="ложь">
      <formula>NOT(ISERROR(SEARCH("ложь",N77)))</formula>
    </cfRule>
  </conditionalFormatting>
  <conditionalFormatting sqref="N99">
    <cfRule type="containsText" dxfId="685" priority="63" operator="containsText" text="ложь">
      <formula>NOT(ISERROR(SEARCH("ложь",N99)))</formula>
    </cfRule>
  </conditionalFormatting>
  <conditionalFormatting sqref="O77:O98">
    <cfRule type="containsText" dxfId="684" priority="62" operator="containsText" text="ложь">
      <formula>NOT(ISERROR(SEARCH("ложь",O77)))</formula>
    </cfRule>
  </conditionalFormatting>
  <conditionalFormatting sqref="O99">
    <cfRule type="containsText" dxfId="683" priority="61" operator="containsText" text="ложь">
      <formula>NOT(ISERROR(SEARCH("ложь",O99)))</formula>
    </cfRule>
  </conditionalFormatting>
  <conditionalFormatting sqref="P77:P98">
    <cfRule type="containsText" dxfId="682" priority="60" operator="containsText" text="ложь">
      <formula>NOT(ISERROR(SEARCH("ложь",P77)))</formula>
    </cfRule>
  </conditionalFormatting>
  <conditionalFormatting sqref="P99">
    <cfRule type="containsText" dxfId="681" priority="59" operator="containsText" text="ложь">
      <formula>NOT(ISERROR(SEARCH("ложь",P99)))</formula>
    </cfRule>
  </conditionalFormatting>
  <conditionalFormatting sqref="R77:R98">
    <cfRule type="containsText" dxfId="680" priority="58" operator="containsText" text="ложь">
      <formula>NOT(ISERROR(SEARCH("ложь",R77)))</formula>
    </cfRule>
  </conditionalFormatting>
  <conditionalFormatting sqref="R99">
    <cfRule type="containsText" dxfId="679" priority="57" operator="containsText" text="ложь">
      <formula>NOT(ISERROR(SEARCH("ложь",R99)))</formula>
    </cfRule>
  </conditionalFormatting>
  <conditionalFormatting sqref="S77:S98">
    <cfRule type="containsText" dxfId="678" priority="56" operator="containsText" text="ложь">
      <formula>NOT(ISERROR(SEARCH("ложь",S77)))</formula>
    </cfRule>
  </conditionalFormatting>
  <conditionalFormatting sqref="S99">
    <cfRule type="containsText" dxfId="677" priority="55" operator="containsText" text="ложь">
      <formula>NOT(ISERROR(SEARCH("ложь",S99)))</formula>
    </cfRule>
  </conditionalFormatting>
  <conditionalFormatting sqref="T77:T98">
    <cfRule type="containsText" dxfId="676" priority="54" operator="containsText" text="ложь">
      <formula>NOT(ISERROR(SEARCH("ложь",T77)))</formula>
    </cfRule>
  </conditionalFormatting>
  <conditionalFormatting sqref="T99">
    <cfRule type="containsText" dxfId="675" priority="53" operator="containsText" text="ложь">
      <formula>NOT(ISERROR(SEARCH("ложь",T99)))</formula>
    </cfRule>
  </conditionalFormatting>
  <conditionalFormatting sqref="U77:U98">
    <cfRule type="containsText" dxfId="674" priority="52" operator="containsText" text="ложь">
      <formula>NOT(ISERROR(SEARCH("ложь",U77)))</formula>
    </cfRule>
  </conditionalFormatting>
  <conditionalFormatting sqref="U99">
    <cfRule type="containsText" dxfId="673" priority="51" operator="containsText" text="ложь">
      <formula>NOT(ISERROR(SEARCH("ложь",U99)))</formula>
    </cfRule>
  </conditionalFormatting>
  <conditionalFormatting sqref="V77:V98">
    <cfRule type="containsText" dxfId="672" priority="50" operator="containsText" text="ложь">
      <formula>NOT(ISERROR(SEARCH("ложь",V77)))</formula>
    </cfRule>
  </conditionalFormatting>
  <conditionalFormatting sqref="V99">
    <cfRule type="containsText" dxfId="671" priority="49" operator="containsText" text="ложь">
      <formula>NOT(ISERROR(SEARCH("ложь",V99)))</formula>
    </cfRule>
  </conditionalFormatting>
  <conditionalFormatting sqref="X77:X98">
    <cfRule type="containsText" dxfId="670" priority="48" operator="containsText" text="ложь">
      <formula>NOT(ISERROR(SEARCH("ложь",X77)))</formula>
    </cfRule>
  </conditionalFormatting>
  <conditionalFormatting sqref="X99">
    <cfRule type="containsText" dxfId="669" priority="47" operator="containsText" text="ложь">
      <formula>NOT(ISERROR(SEARCH("ложь",X99)))</formula>
    </cfRule>
  </conditionalFormatting>
  <conditionalFormatting sqref="Y77:Y98">
    <cfRule type="containsText" dxfId="668" priority="46" operator="containsText" text="ложь">
      <formula>NOT(ISERROR(SEARCH("ложь",Y77)))</formula>
    </cfRule>
  </conditionalFormatting>
  <conditionalFormatting sqref="Y99">
    <cfRule type="containsText" dxfId="667" priority="45" operator="containsText" text="ложь">
      <formula>NOT(ISERROR(SEARCH("ложь",Y99)))</formula>
    </cfRule>
  </conditionalFormatting>
  <conditionalFormatting sqref="Z77:Z98">
    <cfRule type="containsText" dxfId="666" priority="44" operator="containsText" text="ложь">
      <formula>NOT(ISERROR(SEARCH("ложь",Z77)))</formula>
    </cfRule>
  </conditionalFormatting>
  <conditionalFormatting sqref="Z99">
    <cfRule type="containsText" dxfId="665" priority="43" operator="containsText" text="ложь">
      <formula>NOT(ISERROR(SEARCH("ложь",Z99)))</formula>
    </cfRule>
  </conditionalFormatting>
  <conditionalFormatting sqref="AA77:AA98">
    <cfRule type="containsText" dxfId="664" priority="42" operator="containsText" text="ложь">
      <formula>NOT(ISERROR(SEARCH("ложь",AA77)))</formula>
    </cfRule>
  </conditionalFormatting>
  <conditionalFormatting sqref="AA99">
    <cfRule type="containsText" dxfId="663" priority="41" operator="containsText" text="ложь">
      <formula>NOT(ISERROR(SEARCH("ложь",AA99)))</formula>
    </cfRule>
  </conditionalFormatting>
  <conditionalFormatting sqref="D118:D133">
    <cfRule type="containsText" dxfId="662" priority="40" operator="containsText" text="ложь">
      <formula>NOT(ISERROR(SEARCH("ложь",D118)))</formula>
    </cfRule>
  </conditionalFormatting>
  <conditionalFormatting sqref="D105:D117">
    <cfRule type="containsText" dxfId="661" priority="39" operator="containsText" text="ложь">
      <formula>NOT(ISERROR(SEARCH("ложь",D105)))</formula>
    </cfRule>
  </conditionalFormatting>
  <conditionalFormatting sqref="F118:F133">
    <cfRule type="containsText" dxfId="660" priority="38" operator="containsText" text="ложь">
      <formula>NOT(ISERROR(SEARCH("ложь",F118)))</formula>
    </cfRule>
  </conditionalFormatting>
  <conditionalFormatting sqref="F105:F117">
    <cfRule type="containsText" dxfId="659" priority="37" operator="containsText" text="ложь">
      <formula>NOT(ISERROR(SEARCH("ложь",F105)))</formula>
    </cfRule>
  </conditionalFormatting>
  <conditionalFormatting sqref="G118:G133">
    <cfRule type="containsText" dxfId="658" priority="36" operator="containsText" text="ложь">
      <formula>NOT(ISERROR(SEARCH("ложь",G118)))</formula>
    </cfRule>
  </conditionalFormatting>
  <conditionalFormatting sqref="G105:G117">
    <cfRule type="containsText" dxfId="657" priority="35" operator="containsText" text="ложь">
      <formula>NOT(ISERROR(SEARCH("ложь",G105)))</formula>
    </cfRule>
  </conditionalFormatting>
  <conditionalFormatting sqref="H118:H133">
    <cfRule type="containsText" dxfId="656" priority="34" operator="containsText" text="ложь">
      <formula>NOT(ISERROR(SEARCH("ложь",H118)))</formula>
    </cfRule>
  </conditionalFormatting>
  <conditionalFormatting sqref="H105:H117">
    <cfRule type="containsText" dxfId="655" priority="33" operator="containsText" text="ложь">
      <formula>NOT(ISERROR(SEARCH("ложь",H105)))</formula>
    </cfRule>
  </conditionalFormatting>
  <conditionalFormatting sqref="I118:I133">
    <cfRule type="containsText" dxfId="654" priority="32" operator="containsText" text="ложь">
      <formula>NOT(ISERROR(SEARCH("ложь",I118)))</formula>
    </cfRule>
  </conditionalFormatting>
  <conditionalFormatting sqref="I105:I117">
    <cfRule type="containsText" dxfId="653" priority="31" operator="containsText" text="ложь">
      <formula>NOT(ISERROR(SEARCH("ложь",I105)))</formula>
    </cfRule>
  </conditionalFormatting>
  <conditionalFormatting sqref="J118:J133">
    <cfRule type="containsText" dxfId="652" priority="30" operator="containsText" text="ложь">
      <formula>NOT(ISERROR(SEARCH("ложь",J118)))</formula>
    </cfRule>
  </conditionalFormatting>
  <conditionalFormatting sqref="J105:J117">
    <cfRule type="containsText" dxfId="651" priority="29" operator="containsText" text="ложь">
      <formula>NOT(ISERROR(SEARCH("ложь",J105)))</formula>
    </cfRule>
  </conditionalFormatting>
  <conditionalFormatting sqref="L118:L133">
    <cfRule type="containsText" dxfId="650" priority="28" operator="containsText" text="ложь">
      <formula>NOT(ISERROR(SEARCH("ложь",L118)))</formula>
    </cfRule>
  </conditionalFormatting>
  <conditionalFormatting sqref="L105:L117">
    <cfRule type="containsText" dxfId="649" priority="27" operator="containsText" text="ложь">
      <formula>NOT(ISERROR(SEARCH("ложь",L105)))</formula>
    </cfRule>
  </conditionalFormatting>
  <conditionalFormatting sqref="M118:M133">
    <cfRule type="containsText" dxfId="648" priority="26" operator="containsText" text="ложь">
      <formula>NOT(ISERROR(SEARCH("ложь",M118)))</formula>
    </cfRule>
  </conditionalFormatting>
  <conditionalFormatting sqref="M105:M117">
    <cfRule type="containsText" dxfId="647" priority="25" operator="containsText" text="ложь">
      <formula>NOT(ISERROR(SEARCH("ложь",M105)))</formula>
    </cfRule>
  </conditionalFormatting>
  <conditionalFormatting sqref="N118:N133">
    <cfRule type="containsText" dxfId="646" priority="24" operator="containsText" text="ложь">
      <formula>NOT(ISERROR(SEARCH("ложь",N118)))</formula>
    </cfRule>
  </conditionalFormatting>
  <conditionalFormatting sqref="N105:N117">
    <cfRule type="containsText" dxfId="645" priority="23" operator="containsText" text="ложь">
      <formula>NOT(ISERROR(SEARCH("ложь",N105)))</formula>
    </cfRule>
  </conditionalFormatting>
  <conditionalFormatting sqref="O118:O133">
    <cfRule type="containsText" dxfId="644" priority="22" operator="containsText" text="ложь">
      <formula>NOT(ISERROR(SEARCH("ложь",O118)))</formula>
    </cfRule>
  </conditionalFormatting>
  <conditionalFormatting sqref="O105:O117">
    <cfRule type="containsText" dxfId="643" priority="21" operator="containsText" text="ложь">
      <formula>NOT(ISERROR(SEARCH("ложь",O105)))</formula>
    </cfRule>
  </conditionalFormatting>
  <conditionalFormatting sqref="P118:P133">
    <cfRule type="containsText" dxfId="642" priority="20" operator="containsText" text="ложь">
      <formula>NOT(ISERROR(SEARCH("ложь",P118)))</formula>
    </cfRule>
  </conditionalFormatting>
  <conditionalFormatting sqref="P105:P117">
    <cfRule type="containsText" dxfId="641" priority="19" operator="containsText" text="ложь">
      <formula>NOT(ISERROR(SEARCH("ложь",P105)))</formula>
    </cfRule>
  </conditionalFormatting>
  <conditionalFormatting sqref="R118:R133">
    <cfRule type="containsText" dxfId="640" priority="18" operator="containsText" text="ложь">
      <formula>NOT(ISERROR(SEARCH("ложь",R118)))</formula>
    </cfRule>
  </conditionalFormatting>
  <conditionalFormatting sqref="R105:R117">
    <cfRule type="containsText" dxfId="639" priority="17" operator="containsText" text="ложь">
      <formula>NOT(ISERROR(SEARCH("ложь",R105)))</formula>
    </cfRule>
  </conditionalFormatting>
  <conditionalFormatting sqref="S118:S133">
    <cfRule type="containsText" dxfId="638" priority="16" operator="containsText" text="ложь">
      <formula>NOT(ISERROR(SEARCH("ложь",S118)))</formula>
    </cfRule>
  </conditionalFormatting>
  <conditionalFormatting sqref="S105:S117">
    <cfRule type="containsText" dxfId="637" priority="15" operator="containsText" text="ложь">
      <formula>NOT(ISERROR(SEARCH("ложь",S105)))</formula>
    </cfRule>
  </conditionalFormatting>
  <conditionalFormatting sqref="T118:T133">
    <cfRule type="containsText" dxfId="636" priority="14" operator="containsText" text="ложь">
      <formula>NOT(ISERROR(SEARCH("ложь",T118)))</formula>
    </cfRule>
  </conditionalFormatting>
  <conditionalFormatting sqref="T105:T117">
    <cfRule type="containsText" dxfId="635" priority="13" operator="containsText" text="ложь">
      <formula>NOT(ISERROR(SEARCH("ложь",T105)))</formula>
    </cfRule>
  </conditionalFormatting>
  <conditionalFormatting sqref="U118:U133">
    <cfRule type="containsText" dxfId="634" priority="12" operator="containsText" text="ложь">
      <formula>NOT(ISERROR(SEARCH("ложь",U118)))</formula>
    </cfRule>
  </conditionalFormatting>
  <conditionalFormatting sqref="U105:U117">
    <cfRule type="containsText" dxfId="633" priority="11" operator="containsText" text="ложь">
      <formula>NOT(ISERROR(SEARCH("ложь",U105)))</formula>
    </cfRule>
  </conditionalFormatting>
  <conditionalFormatting sqref="V118:V133">
    <cfRule type="containsText" dxfId="632" priority="10" operator="containsText" text="ложь">
      <formula>NOT(ISERROR(SEARCH("ложь",V118)))</formula>
    </cfRule>
  </conditionalFormatting>
  <conditionalFormatting sqref="V105:V117">
    <cfRule type="containsText" dxfId="631" priority="9" operator="containsText" text="ложь">
      <formula>NOT(ISERROR(SEARCH("ложь",V105)))</formula>
    </cfRule>
  </conditionalFormatting>
  <conditionalFormatting sqref="X118:X133">
    <cfRule type="containsText" dxfId="630" priority="8" operator="containsText" text="ложь">
      <formula>NOT(ISERROR(SEARCH("ложь",X118)))</formula>
    </cfRule>
  </conditionalFormatting>
  <conditionalFormatting sqref="X105:X117">
    <cfRule type="containsText" dxfId="629" priority="7" operator="containsText" text="ложь">
      <formula>NOT(ISERROR(SEARCH("ложь",X105)))</formula>
    </cfRule>
  </conditionalFormatting>
  <conditionalFormatting sqref="Y118:Y133">
    <cfRule type="containsText" dxfId="628" priority="6" operator="containsText" text="ложь">
      <formula>NOT(ISERROR(SEARCH("ложь",Y118)))</formula>
    </cfRule>
  </conditionalFormatting>
  <conditionalFormatting sqref="Y105:Y117">
    <cfRule type="containsText" dxfId="627" priority="5" operator="containsText" text="ложь">
      <formula>NOT(ISERROR(SEARCH("ложь",Y105)))</formula>
    </cfRule>
  </conditionalFormatting>
  <conditionalFormatting sqref="Z118:Z133">
    <cfRule type="containsText" dxfId="626" priority="4" operator="containsText" text="ложь">
      <formula>NOT(ISERROR(SEARCH("ложь",Z118)))</formula>
    </cfRule>
  </conditionalFormatting>
  <conditionalFormatting sqref="Z105:Z117">
    <cfRule type="containsText" dxfId="625" priority="3" operator="containsText" text="ложь">
      <formula>NOT(ISERROR(SEARCH("ложь",Z105)))</formula>
    </cfRule>
  </conditionalFormatting>
  <conditionalFormatting sqref="AA118:AA133">
    <cfRule type="containsText" dxfId="624" priority="2" operator="containsText" text="ложь">
      <formula>NOT(ISERROR(SEARCH("ложь",AA118)))</formula>
    </cfRule>
  </conditionalFormatting>
  <conditionalFormatting sqref="AA105:AA117">
    <cfRule type="containsText" dxfId="623" priority="1" operator="containsText" text="ложь">
      <formula>NOT(ISERROR(SEARCH("ложь",AA105)))</formula>
    </cfRule>
  </conditionalFormatting>
  <hyperlinks>
    <hyperlink ref="A135" location="Contents!A1" display="Contents!A1" xr:uid="{00000000-0004-0000-0800-000000000000}"/>
  </hyperlinks>
  <pageMargins left="0.25" right="0.25" top="0.75" bottom="0.75" header="0.3" footer="0.3"/>
  <pageSetup paperSize="9" scale="70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DB5DF93C7A5B94DBCAFA7E67958F34D" ma:contentTypeVersion="0" ma:contentTypeDescription="Создание документа." ma:contentTypeScope="" ma:versionID="d96dbc4f12cbbd231e5a459be73790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FCEA6-C16E-488F-A230-53A1A5F9C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7B48D6-D2A4-4E44-B8E7-767AE084127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9C4779-AC28-4DBE-9721-3B02FD9EE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Contents</vt:lpstr>
      <vt:lpstr>Balance Sheet</vt:lpstr>
      <vt:lpstr>Statement of Income</vt:lpstr>
      <vt:lpstr>Cash Flows</vt:lpstr>
      <vt:lpstr>Key Financial&amp;Operation Results</vt:lpstr>
      <vt:lpstr>Production</vt:lpstr>
      <vt:lpstr>West Qurna-2</vt:lpstr>
      <vt:lpstr>Refining</vt:lpstr>
      <vt:lpstr>Marketing &amp; Trading</vt:lpstr>
      <vt:lpstr>Capital expenditures</vt:lpstr>
      <vt:lpstr>Expenses</vt:lpstr>
      <vt:lpstr>EBITDA</vt:lpstr>
      <vt:lpstr>Macro</vt:lpstr>
      <vt:lpstr>Taxation</vt:lpstr>
      <vt:lpstr>Production!Область_печати</vt:lpstr>
    </vt:vector>
  </TitlesOfParts>
  <Company>LUKOIL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and Operating Information</dc:title>
  <dc:creator>Администратор</dc:creator>
  <cp:lastModifiedBy>Харченко Алексей Валериевич</cp:lastModifiedBy>
  <cp:lastPrinted>2017-05-30T05:19:15Z</cp:lastPrinted>
  <dcterms:created xsi:type="dcterms:W3CDTF">2016-09-15T11:49:59Z</dcterms:created>
  <dcterms:modified xsi:type="dcterms:W3CDTF">2022-04-07T05:52:08Z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0x010100FDB5DF93C7A5B94DBCAFA7E67958F34D</vt:lpwstr>
  </property>
</Properties>
</file>